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01"/>
  <workbookPr/>
  <mc:AlternateContent xmlns:mc="http://schemas.openxmlformats.org/markup-compatibility/2006">
    <mc:Choice Requires="x15">
      <x15ac:absPath xmlns:x15ac="http://schemas.microsoft.com/office/spreadsheetml/2010/11/ac" url="K:\TEVÉKENYSÉG\KÖZBESZERZÉS\2018\BÉKÉS MEGYE\Békéssámson Önk. energetikai felújítás\PH épületenergetika\Honlapra\"/>
    </mc:Choice>
  </mc:AlternateContent>
  <bookViews>
    <workbookView xWindow="0" yWindow="0" windowWidth="15345" windowHeight="4455" tabRatio="791"/>
  </bookViews>
  <sheets>
    <sheet name="Főösszesítő" sheetId="9" r:id="rId1"/>
    <sheet name="Összesítő" sheetId="8" r:id="rId2"/>
    <sheet name="homlokzat" sheetId="1" r:id="rId3"/>
    <sheet name="nyílászáró" sheetId="3" r:id="rId4"/>
    <sheet name="padló" sheetId="4" r:id="rId5"/>
    <sheet name="pince" sheetId="5" r:id="rId6"/>
    <sheet name="padlás" sheetId="6" r:id="rId7"/>
    <sheet name="akadálymentesítés" sheetId="7" r:id="rId8"/>
    <sheet name="fűtés" sheetId="11" r:id="rId9"/>
    <sheet name="HKME" sheetId="10" r:id="rId10"/>
  </sheets>
  <definedNames>
    <definedName name="_xlnm.Print_Titles" localSheetId="7">akadálymentesítés!$1:$6</definedName>
    <definedName name="_xlnm.Print_Titles" localSheetId="8">fűtés!$1:$6</definedName>
    <definedName name="_xlnm.Print_Titles" localSheetId="9">HKME!$1:$6</definedName>
    <definedName name="_xlnm.Print_Titles" localSheetId="2">homlokzat!$1:$6</definedName>
    <definedName name="_xlnm.Print_Titles" localSheetId="3">nyílászáró!$1:$6</definedName>
    <definedName name="_xlnm.Print_Titles" localSheetId="6">padlás!$1:$6</definedName>
    <definedName name="_xlnm.Print_Titles" localSheetId="4">padló!$1:$6</definedName>
    <definedName name="_xlnm.Print_Titles" localSheetId="5">pince!$1:$6</definedName>
    <definedName name="_xlnm.Print_Area" localSheetId="0">Főösszesítő!$A:$E</definedName>
    <definedName name="_xlnm.Print_Area" localSheetId="2">homlokzat!$A:$J</definedName>
    <definedName name="_xlnm.Print_Area" localSheetId="3">nyílászáró!$A:$J</definedName>
    <definedName name="_xlnm.Print_Area" localSheetId="1">Összesítő!$A:$E</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 i="6" l="1"/>
  <c r="J9" i="6"/>
  <c r="I7" i="6"/>
  <c r="J7" i="6"/>
  <c r="E32" i="4" l="1"/>
  <c r="E37" i="4"/>
  <c r="A183" i="7"/>
  <c r="A184" i="7" s="1"/>
  <c r="A185" i="7" s="1"/>
  <c r="A173" i="7"/>
  <c r="A167" i="7"/>
  <c r="J155" i="7"/>
  <c r="I155" i="7"/>
  <c r="E149" i="7"/>
  <c r="A85" i="7"/>
  <c r="A86" i="7" s="1"/>
  <c r="J85" i="7"/>
  <c r="I85" i="7"/>
  <c r="E73" i="7"/>
  <c r="E74" i="7" s="1"/>
  <c r="E75" i="7" s="1"/>
  <c r="I52" i="7"/>
  <c r="J52" i="7"/>
  <c r="E39" i="7"/>
  <c r="E38" i="7"/>
  <c r="E32" i="7"/>
  <c r="A32" i="7"/>
  <c r="A33" i="7" s="1"/>
  <c r="E31" i="7"/>
  <c r="E24" i="7"/>
  <c r="E23" i="7"/>
  <c r="E19" i="7"/>
  <c r="E16" i="7"/>
  <c r="E13" i="7"/>
  <c r="E7" i="7"/>
  <c r="E48" i="4"/>
  <c r="E43" i="4"/>
  <c r="E42" i="4"/>
  <c r="E36" i="4"/>
  <c r="E35" i="4"/>
  <c r="E30" i="4"/>
  <c r="E25" i="4"/>
  <c r="E24" i="4"/>
  <c r="E23" i="4"/>
  <c r="E22" i="4"/>
  <c r="E21" i="4"/>
  <c r="J37" i="4" l="1"/>
  <c r="I37" i="4"/>
  <c r="E15" i="4"/>
  <c r="E8" i="4"/>
  <c r="E7" i="4"/>
  <c r="E29" i="1" l="1"/>
  <c r="J12" i="6" l="1"/>
  <c r="I12" i="6"/>
  <c r="E26" i="7"/>
  <c r="I26" i="7" s="1"/>
  <c r="E25" i="7"/>
  <c r="I25" i="7" s="1"/>
  <c r="I40" i="7"/>
  <c r="J40" i="7"/>
  <c r="J25" i="7" l="1"/>
  <c r="J26" i="7"/>
  <c r="J136" i="7"/>
  <c r="I136" i="7"/>
  <c r="I204" i="7"/>
  <c r="J204" i="7"/>
  <c r="J201" i="7"/>
  <c r="I201" i="7"/>
  <c r="J202" i="7"/>
  <c r="I202" i="7"/>
  <c r="I206" i="7"/>
  <c r="J206" i="7"/>
  <c r="J208" i="7"/>
  <c r="I208" i="7"/>
  <c r="J207" i="7"/>
  <c r="I207" i="7"/>
  <c r="J205" i="7"/>
  <c r="I205" i="7"/>
  <c r="J203" i="7"/>
  <c r="I203" i="7"/>
  <c r="I200" i="7"/>
  <c r="J200" i="7"/>
  <c r="J199" i="7"/>
  <c r="I199" i="7"/>
  <c r="I24" i="7" l="1"/>
  <c r="I31" i="7"/>
  <c r="I58" i="7"/>
  <c r="J58" i="7"/>
  <c r="J57" i="7"/>
  <c r="I57" i="7"/>
  <c r="J31" i="7" l="1"/>
  <c r="J24" i="7"/>
  <c r="A32" i="8"/>
  <c r="I8" i="7"/>
  <c r="J8" i="7"/>
  <c r="A8" i="7"/>
  <c r="I7" i="7"/>
  <c r="J154" i="7"/>
  <c r="I154" i="7"/>
  <c r="E148" i="7"/>
  <c r="I148" i="7" s="1"/>
  <c r="E150" i="7"/>
  <c r="I150" i="7" s="1"/>
  <c r="I149" i="7"/>
  <c r="E147" i="7"/>
  <c r="E146" i="7"/>
  <c r="E142" i="7"/>
  <c r="E145" i="7"/>
  <c r="E141" i="7"/>
  <c r="A45" i="8"/>
  <c r="A44" i="8"/>
  <c r="A43" i="8"/>
  <c r="A42" i="8"/>
  <c r="A41" i="8"/>
  <c r="A40" i="8"/>
  <c r="A39" i="8"/>
  <c r="A38" i="8"/>
  <c r="A37" i="8"/>
  <c r="A36" i="8"/>
  <c r="A35" i="8"/>
  <c r="A34" i="8"/>
  <c r="A33" i="8"/>
  <c r="J148" i="7" l="1"/>
  <c r="J150" i="7"/>
  <c r="I10" i="7"/>
  <c r="C32" i="8" s="1"/>
  <c r="J7" i="7"/>
  <c r="J149" i="7"/>
  <c r="J10" i="7" l="1"/>
  <c r="D32" i="8" s="1"/>
  <c r="E32" i="8" s="1"/>
  <c r="A186" i="7"/>
  <c r="A187" i="7" s="1"/>
  <c r="A188" i="7" s="1"/>
  <c r="A189" i="7" s="1"/>
  <c r="A190" i="7" s="1"/>
  <c r="A191" i="7" s="1"/>
  <c r="A192" i="7" s="1"/>
  <c r="A193" i="7" s="1"/>
  <c r="A194" i="7" s="1"/>
  <c r="A195" i="7" s="1"/>
  <c r="A196" i="7" s="1"/>
  <c r="A197" i="7" s="1"/>
  <c r="A198" i="7" s="1"/>
  <c r="A199" i="7" s="1"/>
  <c r="A200" i="7" s="1"/>
  <c r="A201" i="7" s="1"/>
  <c r="A202" i="7" s="1"/>
  <c r="I173" i="7"/>
  <c r="J173" i="7"/>
  <c r="I174" i="7"/>
  <c r="J174" i="7"/>
  <c r="I175" i="7"/>
  <c r="J175" i="7"/>
  <c r="I176" i="7"/>
  <c r="J176" i="7"/>
  <c r="I177" i="7"/>
  <c r="J177" i="7"/>
  <c r="I182" i="7"/>
  <c r="J182" i="7"/>
  <c r="I183" i="7"/>
  <c r="J183" i="7"/>
  <c r="I184" i="7"/>
  <c r="J184" i="7"/>
  <c r="I185" i="7"/>
  <c r="J185" i="7"/>
  <c r="I186" i="7"/>
  <c r="J186" i="7"/>
  <c r="I187" i="7"/>
  <c r="J187" i="7"/>
  <c r="I188" i="7"/>
  <c r="J188" i="7"/>
  <c r="I189" i="7"/>
  <c r="J189" i="7"/>
  <c r="I190" i="7"/>
  <c r="J190" i="7"/>
  <c r="I191" i="7"/>
  <c r="J191" i="7"/>
  <c r="I192" i="7"/>
  <c r="J192" i="7"/>
  <c r="I193" i="7"/>
  <c r="J193" i="7"/>
  <c r="I194" i="7"/>
  <c r="J194" i="7"/>
  <c r="I195" i="7"/>
  <c r="J195" i="7"/>
  <c r="I196" i="7"/>
  <c r="J196" i="7"/>
  <c r="I197" i="7"/>
  <c r="J197" i="7"/>
  <c r="I198" i="7"/>
  <c r="J198" i="7"/>
  <c r="J172" i="7"/>
  <c r="I172" i="7"/>
  <c r="A174" i="7"/>
  <c r="A175" i="7" s="1"/>
  <c r="A176" i="7" s="1"/>
  <c r="A177" i="7" s="1"/>
  <c r="J167" i="7"/>
  <c r="I167" i="7"/>
  <c r="J166" i="7"/>
  <c r="I166" i="7"/>
  <c r="J161" i="7"/>
  <c r="J163" i="7" s="1"/>
  <c r="D42" i="8" s="1"/>
  <c r="I161" i="7"/>
  <c r="I163" i="7" s="1"/>
  <c r="C42" i="8" s="1"/>
  <c r="A51" i="8"/>
  <c r="A50" i="8"/>
  <c r="A49" i="8"/>
  <c r="A48" i="8"/>
  <c r="I21" i="11"/>
  <c r="J21" i="11"/>
  <c r="I22" i="11"/>
  <c r="J22" i="11"/>
  <c r="I23" i="11"/>
  <c r="J23" i="11"/>
  <c r="I24" i="11"/>
  <c r="J24" i="11"/>
  <c r="I42" i="11"/>
  <c r="J42" i="11"/>
  <c r="I43" i="11"/>
  <c r="J43" i="11"/>
  <c r="I44" i="11"/>
  <c r="J44" i="11"/>
  <c r="I45" i="11"/>
  <c r="J45" i="11"/>
  <c r="I46" i="11"/>
  <c r="J46" i="11"/>
  <c r="I47" i="11"/>
  <c r="J47" i="11"/>
  <c r="I48" i="11"/>
  <c r="J48" i="11"/>
  <c r="I49" i="11"/>
  <c r="J49" i="11"/>
  <c r="I50" i="11"/>
  <c r="J50" i="11"/>
  <c r="I39" i="11"/>
  <c r="J39" i="11"/>
  <c r="I40" i="11"/>
  <c r="J40" i="11"/>
  <c r="I41" i="11"/>
  <c r="J41" i="11"/>
  <c r="I8" i="11"/>
  <c r="J8" i="11"/>
  <c r="I51" i="11"/>
  <c r="J51" i="11"/>
  <c r="I52" i="11"/>
  <c r="J52" i="11"/>
  <c r="I53" i="11"/>
  <c r="J53" i="11"/>
  <c r="I54" i="11"/>
  <c r="J54" i="11"/>
  <c r="I55" i="11"/>
  <c r="J55" i="11"/>
  <c r="I56" i="11"/>
  <c r="J56" i="11"/>
  <c r="I29" i="11"/>
  <c r="J29" i="11"/>
  <c r="I30" i="11"/>
  <c r="J30" i="11"/>
  <c r="I31" i="11"/>
  <c r="J31" i="11"/>
  <c r="I32" i="11"/>
  <c r="J32" i="11"/>
  <c r="I33" i="11"/>
  <c r="J33" i="11"/>
  <c r="I57" i="11"/>
  <c r="J57" i="11"/>
  <c r="I34" i="11"/>
  <c r="J34" i="11"/>
  <c r="I35" i="11"/>
  <c r="J35" i="11"/>
  <c r="I36" i="11"/>
  <c r="J36" i="11"/>
  <c r="I37" i="11"/>
  <c r="J37" i="11"/>
  <c r="I38" i="11"/>
  <c r="J38" i="11"/>
  <c r="I58" i="11"/>
  <c r="J58" i="11"/>
  <c r="I59" i="11"/>
  <c r="J59" i="11"/>
  <c r="I60" i="11"/>
  <c r="J60" i="11"/>
  <c r="I61" i="11"/>
  <c r="J61" i="11"/>
  <c r="I62" i="11"/>
  <c r="J62" i="11"/>
  <c r="I63" i="11"/>
  <c r="J63" i="11"/>
  <c r="J19" i="11"/>
  <c r="J26" i="11" s="1"/>
  <c r="D50" i="8" s="1"/>
  <c r="I19" i="11"/>
  <c r="A20" i="11"/>
  <c r="A21" i="11" s="1"/>
  <c r="A22" i="11" s="1"/>
  <c r="A23" i="11" s="1"/>
  <c r="A24" i="11" s="1"/>
  <c r="A14" i="11"/>
  <c r="J16" i="11"/>
  <c r="D49" i="8" s="1"/>
  <c r="J14" i="11"/>
  <c r="I14" i="11"/>
  <c r="J13" i="11"/>
  <c r="I13" i="11"/>
  <c r="I16" i="11" s="1"/>
  <c r="C49" i="8" s="1"/>
  <c r="E49" i="8" s="1"/>
  <c r="J20" i="11"/>
  <c r="I20" i="11"/>
  <c r="J7" i="11"/>
  <c r="J10" i="11" s="1"/>
  <c r="D48" i="8" s="1"/>
  <c r="I7" i="11"/>
  <c r="I10" i="11" s="1"/>
  <c r="C48" i="8" s="1"/>
  <c r="A2" i="11"/>
  <c r="A1" i="11"/>
  <c r="E42" i="8" l="1"/>
  <c r="E48" i="8"/>
  <c r="J169" i="7"/>
  <c r="D43" i="8" s="1"/>
  <c r="I179" i="7"/>
  <c r="C44" i="8" s="1"/>
  <c r="I169" i="7"/>
  <c r="C43" i="8" s="1"/>
  <c r="J179" i="7"/>
  <c r="D44" i="8" s="1"/>
  <c r="I210" i="7"/>
  <c r="C45" i="8" s="1"/>
  <c r="J210" i="7"/>
  <c r="D45" i="8" s="1"/>
  <c r="J65" i="11"/>
  <c r="D51" i="8" s="1"/>
  <c r="D52" i="8" s="1"/>
  <c r="D13" i="9" s="1"/>
  <c r="I65" i="11"/>
  <c r="C51" i="8" s="1"/>
  <c r="I26" i="11"/>
  <c r="C50" i="8" s="1"/>
  <c r="E50" i="8" s="1"/>
  <c r="A2" i="10"/>
  <c r="A1" i="10"/>
  <c r="A2" i="7"/>
  <c r="A1" i="7"/>
  <c r="A2" i="6"/>
  <c r="A1" i="6"/>
  <c r="A2" i="5"/>
  <c r="A1" i="5"/>
  <c r="A2" i="4"/>
  <c r="A1" i="4"/>
  <c r="A2" i="3"/>
  <c r="A1" i="3"/>
  <c r="A2" i="1"/>
  <c r="A1" i="1"/>
  <c r="A2" i="8"/>
  <c r="A1" i="8"/>
  <c r="J25" i="3"/>
  <c r="I25" i="3"/>
  <c r="A14" i="9"/>
  <c r="A13" i="9"/>
  <c r="A12" i="9"/>
  <c r="A55" i="8"/>
  <c r="A54" i="8"/>
  <c r="J12" i="10"/>
  <c r="I12" i="10"/>
  <c r="J11" i="10"/>
  <c r="I11" i="10"/>
  <c r="I7" i="10"/>
  <c r="J7" i="10"/>
  <c r="I10" i="10"/>
  <c r="J10" i="10"/>
  <c r="I9" i="10"/>
  <c r="J9" i="10"/>
  <c r="I20" i="10"/>
  <c r="J20" i="10"/>
  <c r="I19" i="10"/>
  <c r="J19" i="10"/>
  <c r="J18" i="10"/>
  <c r="I8" i="10"/>
  <c r="J8" i="10"/>
  <c r="A18" i="10"/>
  <c r="A19" i="10" s="1"/>
  <c r="A20" i="10" s="1"/>
  <c r="J17" i="10"/>
  <c r="E51" i="8"/>
  <c r="A11" i="9"/>
  <c r="A10" i="9"/>
  <c r="A9" i="9"/>
  <c r="A8" i="9"/>
  <c r="A7" i="9"/>
  <c r="A29" i="8"/>
  <c r="A28" i="8"/>
  <c r="A25" i="8"/>
  <c r="A22" i="8"/>
  <c r="A21" i="8"/>
  <c r="A20" i="8"/>
  <c r="A19" i="8"/>
  <c r="A18" i="8"/>
  <c r="A15" i="8"/>
  <c r="A14" i="8"/>
  <c r="A13" i="8"/>
  <c r="A10" i="8"/>
  <c r="A9" i="8"/>
  <c r="A8" i="8"/>
  <c r="A7" i="8"/>
  <c r="I14" i="10" l="1"/>
  <c r="C54" i="8" s="1"/>
  <c r="C52" i="8"/>
  <c r="C13" i="9" s="1"/>
  <c r="E13" i="9" s="1"/>
  <c r="J22" i="10"/>
  <c r="D55" i="8" s="1"/>
  <c r="E43" i="8"/>
  <c r="E45" i="8"/>
  <c r="E44" i="8"/>
  <c r="J14" i="10"/>
  <c r="D54" i="8" s="1"/>
  <c r="I18" i="10"/>
  <c r="I17" i="10"/>
  <c r="E52" i="8" l="1"/>
  <c r="E54" i="8"/>
  <c r="D56" i="8"/>
  <c r="I22" i="10"/>
  <c r="C55" i="8" s="1"/>
  <c r="C56" i="8" s="1"/>
  <c r="C14" i="9" s="1"/>
  <c r="E55" i="8" l="1"/>
  <c r="D14" i="9"/>
  <c r="E14" i="9" s="1"/>
  <c r="E56" i="8"/>
  <c r="J29" i="1" l="1"/>
  <c r="I29" i="1" l="1"/>
  <c r="I36" i="3"/>
  <c r="J36" i="3"/>
  <c r="I54" i="7" l="1"/>
  <c r="J54" i="7"/>
  <c r="E77" i="7" l="1"/>
  <c r="E78" i="7" s="1"/>
  <c r="J152" i="7"/>
  <c r="I152" i="7"/>
  <c r="I142" i="7"/>
  <c r="I144" i="7"/>
  <c r="J144" i="7"/>
  <c r="A142" i="7"/>
  <c r="A143" i="7" s="1"/>
  <c r="A144" i="7" s="1"/>
  <c r="A145" i="7" s="1"/>
  <c r="A146" i="7" s="1"/>
  <c r="A147" i="7" s="1"/>
  <c r="I141" i="7"/>
  <c r="I147" i="7"/>
  <c r="I145" i="7"/>
  <c r="E133" i="7"/>
  <c r="E134" i="7" s="1"/>
  <c r="A148" i="7" l="1"/>
  <c r="A149" i="7" s="1"/>
  <c r="A150" i="7" s="1"/>
  <c r="A151" i="7" s="1"/>
  <c r="A153" i="7" s="1"/>
  <c r="A155" i="7" s="1"/>
  <c r="E143" i="7"/>
  <c r="I143" i="7" s="1"/>
  <c r="E79" i="7"/>
  <c r="I79" i="7" s="1"/>
  <c r="I78" i="7"/>
  <c r="J78" i="7"/>
  <c r="J77" i="7"/>
  <c r="I77" i="7"/>
  <c r="J142" i="7"/>
  <c r="J141" i="7"/>
  <c r="J147" i="7"/>
  <c r="J146" i="7"/>
  <c r="J145" i="7"/>
  <c r="I146" i="7"/>
  <c r="E22" i="7"/>
  <c r="J79" i="7" l="1"/>
  <c r="J143" i="7"/>
  <c r="J157" i="7"/>
  <c r="D41" i="8" s="1"/>
  <c r="I157" i="7"/>
  <c r="C41" i="8" s="1"/>
  <c r="E20" i="7"/>
  <c r="E21" i="7" s="1"/>
  <c r="I16" i="7"/>
  <c r="E18" i="7"/>
  <c r="E17" i="7"/>
  <c r="E14" i="7"/>
  <c r="E20" i="6"/>
  <c r="E18" i="6" s="1"/>
  <c r="E19" i="6"/>
  <c r="E17" i="6" s="1"/>
  <c r="E11" i="6"/>
  <c r="E7" i="5"/>
  <c r="I36" i="4"/>
  <c r="J36" i="4"/>
  <c r="E45" i="4"/>
  <c r="E46" i="4" s="1"/>
  <c r="E47" i="4" s="1"/>
  <c r="E49" i="4" s="1"/>
  <c r="I43" i="4"/>
  <c r="E33" i="4"/>
  <c r="E34" i="4" s="1"/>
  <c r="E31" i="4"/>
  <c r="I21" i="4"/>
  <c r="E16" i="4"/>
  <c r="E9" i="4"/>
  <c r="E46" i="1"/>
  <c r="E39" i="1"/>
  <c r="E43" i="1"/>
  <c r="E42" i="1"/>
  <c r="E44" i="1"/>
  <c r="E30" i="1"/>
  <c r="I42" i="1"/>
  <c r="J42" i="1"/>
  <c r="J47" i="1"/>
  <c r="I47" i="1"/>
  <c r="I33" i="1"/>
  <c r="J33" i="1"/>
  <c r="E32" i="1"/>
  <c r="E31" i="1"/>
  <c r="E34" i="1"/>
  <c r="E21" i="1"/>
  <c r="E24" i="1"/>
  <c r="E25" i="1" s="1"/>
  <c r="E26" i="1" s="1"/>
  <c r="E9" i="1"/>
  <c r="J43" i="4" l="1"/>
  <c r="E44" i="4"/>
  <c r="I44" i="4" s="1"/>
  <c r="E41" i="8"/>
  <c r="J16" i="7"/>
  <c r="E27" i="1"/>
  <c r="E28" i="1" s="1"/>
  <c r="A15" i="1"/>
  <c r="I15" i="1"/>
  <c r="J15" i="1"/>
  <c r="I14" i="1"/>
  <c r="J14" i="1"/>
  <c r="J68" i="7"/>
  <c r="I68" i="7"/>
  <c r="A133" i="7"/>
  <c r="A134" i="7" s="1"/>
  <c r="A135" i="7" s="1"/>
  <c r="A136" i="7" s="1"/>
  <c r="A87" i="7"/>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I67" i="7"/>
  <c r="J67" i="7"/>
  <c r="I66" i="7"/>
  <c r="J66" i="7"/>
  <c r="J23" i="7"/>
  <c r="I23" i="7"/>
  <c r="J22" i="7"/>
  <c r="I22" i="7"/>
  <c r="I135" i="7"/>
  <c r="J135" i="7"/>
  <c r="I134" i="7"/>
  <c r="J134" i="7"/>
  <c r="I133" i="7"/>
  <c r="J133" i="7"/>
  <c r="I132" i="7"/>
  <c r="J132" i="7"/>
  <c r="I127" i="7"/>
  <c r="J127" i="7"/>
  <c r="I126" i="7"/>
  <c r="J126" i="7"/>
  <c r="I125" i="7"/>
  <c r="J125" i="7"/>
  <c r="I124" i="7"/>
  <c r="J124" i="7"/>
  <c r="I123" i="7"/>
  <c r="J123" i="7"/>
  <c r="I122" i="7"/>
  <c r="J122" i="7"/>
  <c r="I121" i="7"/>
  <c r="J121" i="7"/>
  <c r="I120" i="7"/>
  <c r="J120" i="7"/>
  <c r="I119" i="7"/>
  <c r="J119" i="7"/>
  <c r="I118" i="7"/>
  <c r="J118" i="7"/>
  <c r="I117" i="7"/>
  <c r="J117" i="7"/>
  <c r="I116" i="7"/>
  <c r="J116" i="7"/>
  <c r="I115" i="7"/>
  <c r="J115" i="7"/>
  <c r="I114" i="7"/>
  <c r="J114" i="7"/>
  <c r="I113" i="7"/>
  <c r="J113" i="7"/>
  <c r="I112" i="7"/>
  <c r="J112" i="7"/>
  <c r="I111" i="7"/>
  <c r="J111" i="7"/>
  <c r="I110" i="7"/>
  <c r="J110" i="7"/>
  <c r="I109" i="7"/>
  <c r="J109" i="7"/>
  <c r="I108" i="7"/>
  <c r="J108" i="7"/>
  <c r="I107" i="7"/>
  <c r="J107" i="7"/>
  <c r="I106" i="7"/>
  <c r="J106" i="7"/>
  <c r="I105" i="7"/>
  <c r="J105" i="7"/>
  <c r="I104" i="7"/>
  <c r="J104" i="7"/>
  <c r="I103" i="7"/>
  <c r="J103" i="7"/>
  <c r="I102" i="7"/>
  <c r="J102" i="7"/>
  <c r="I101" i="7"/>
  <c r="J101" i="7"/>
  <c r="I100" i="7"/>
  <c r="J100" i="7"/>
  <c r="I99" i="7"/>
  <c r="J99" i="7"/>
  <c r="I98" i="7"/>
  <c r="J98" i="7"/>
  <c r="I97" i="7"/>
  <c r="J97" i="7"/>
  <c r="I96" i="7"/>
  <c r="J96" i="7"/>
  <c r="I95" i="7"/>
  <c r="J95" i="7"/>
  <c r="I94" i="7"/>
  <c r="J94" i="7"/>
  <c r="I93" i="7"/>
  <c r="J93" i="7"/>
  <c r="I92" i="7"/>
  <c r="J92" i="7"/>
  <c r="I91" i="7"/>
  <c r="J91" i="7"/>
  <c r="I90" i="7"/>
  <c r="J90" i="7"/>
  <c r="I89" i="7"/>
  <c r="J89" i="7"/>
  <c r="I88" i="7"/>
  <c r="J88" i="7"/>
  <c r="I87" i="7"/>
  <c r="J87" i="7"/>
  <c r="I86" i="7"/>
  <c r="J86" i="7"/>
  <c r="I84" i="7"/>
  <c r="J84" i="7"/>
  <c r="J44" i="4" l="1"/>
  <c r="I17" i="1"/>
  <c r="C8" i="8" s="1"/>
  <c r="I138" i="7"/>
  <c r="C40" i="8" s="1"/>
  <c r="I129" i="7"/>
  <c r="C39" i="8" s="1"/>
  <c r="J129" i="7"/>
  <c r="D39" i="8" s="1"/>
  <c r="J138" i="7"/>
  <c r="D40" i="8" s="1"/>
  <c r="J17" i="1"/>
  <c r="D8" i="8" s="1"/>
  <c r="I76" i="7"/>
  <c r="J76" i="7"/>
  <c r="A74" i="7"/>
  <c r="A64" i="7"/>
  <c r="A65" i="7" s="1"/>
  <c r="A66" i="7" s="1"/>
  <c r="A67" i="7" s="1"/>
  <c r="A68" i="7" s="1"/>
  <c r="I75" i="7"/>
  <c r="I74" i="7"/>
  <c r="I73" i="7"/>
  <c r="I65" i="7"/>
  <c r="I64" i="7"/>
  <c r="I63" i="7"/>
  <c r="I55" i="7"/>
  <c r="I53" i="7"/>
  <c r="I51" i="7"/>
  <c r="I50" i="7"/>
  <c r="I45" i="7"/>
  <c r="A39" i="7"/>
  <c r="A40" i="7" s="1"/>
  <c r="I39" i="7"/>
  <c r="I38" i="7"/>
  <c r="I21" i="7"/>
  <c r="I20" i="7"/>
  <c r="I19" i="7"/>
  <c r="I18" i="7"/>
  <c r="I17" i="7"/>
  <c r="I15" i="7"/>
  <c r="I14" i="7"/>
  <c r="I13" i="7"/>
  <c r="A14" i="7"/>
  <c r="A15" i="7" s="1"/>
  <c r="I33" i="7"/>
  <c r="I32" i="7"/>
  <c r="A18" i="6"/>
  <c r="A19" i="6" s="1"/>
  <c r="A20" i="6" s="1"/>
  <c r="A8" i="6"/>
  <c r="I20" i="6"/>
  <c r="I19" i="6"/>
  <c r="I18" i="6"/>
  <c r="I17" i="6"/>
  <c r="I11" i="6"/>
  <c r="I10" i="6"/>
  <c r="I8" i="6"/>
  <c r="I8" i="5"/>
  <c r="I7" i="5"/>
  <c r="A8" i="5"/>
  <c r="I35" i="4"/>
  <c r="I34" i="4"/>
  <c r="I33" i="4"/>
  <c r="I32" i="4"/>
  <c r="I31" i="4"/>
  <c r="I30" i="4"/>
  <c r="A31" i="4"/>
  <c r="A43" i="4"/>
  <c r="I49" i="4"/>
  <c r="I48" i="4"/>
  <c r="I47" i="4"/>
  <c r="I45" i="4"/>
  <c r="I42" i="4"/>
  <c r="I25" i="4"/>
  <c r="I24" i="4"/>
  <c r="I23" i="4"/>
  <c r="I22" i="4"/>
  <c r="A22" i="4"/>
  <c r="A23" i="4" s="1"/>
  <c r="A24" i="4" s="1"/>
  <c r="A25" i="4" s="1"/>
  <c r="I16" i="4"/>
  <c r="I15" i="4"/>
  <c r="A16" i="4"/>
  <c r="A8" i="4"/>
  <c r="A9" i="4" s="1"/>
  <c r="A10" i="4" s="1"/>
  <c r="I8" i="4"/>
  <c r="I9" i="4"/>
  <c r="I10" i="4"/>
  <c r="I7" i="4"/>
  <c r="A40" i="1"/>
  <c r="A41" i="1" s="1"/>
  <c r="A21" i="1"/>
  <c r="A22" i="1" s="1"/>
  <c r="A23" i="1" s="1"/>
  <c r="A24" i="1" s="1"/>
  <c r="A8" i="1"/>
  <c r="A9" i="1" s="1"/>
  <c r="I8" i="1"/>
  <c r="I9" i="1"/>
  <c r="I20" i="1"/>
  <c r="I21" i="1"/>
  <c r="I23" i="1"/>
  <c r="I24" i="1"/>
  <c r="I25" i="1"/>
  <c r="I26" i="1"/>
  <c r="I27" i="1"/>
  <c r="I28" i="1"/>
  <c r="I30" i="1"/>
  <c r="I31" i="1"/>
  <c r="I32" i="1"/>
  <c r="I34" i="1"/>
  <c r="I39" i="1"/>
  <c r="I40" i="1"/>
  <c r="I41" i="1"/>
  <c r="I43" i="1"/>
  <c r="I44" i="1"/>
  <c r="I45" i="1"/>
  <c r="I46" i="1"/>
  <c r="I48" i="1"/>
  <c r="I49" i="1"/>
  <c r="I7" i="1"/>
  <c r="E46" i="3"/>
  <c r="E47" i="3" s="1"/>
  <c r="I47" i="3" s="1"/>
  <c r="I12" i="3"/>
  <c r="I11" i="3"/>
  <c r="J11" i="3"/>
  <c r="J12" i="3"/>
  <c r="A8" i="3"/>
  <c r="A9" i="3" s="1"/>
  <c r="A10" i="3" s="1"/>
  <c r="A11" i="3" s="1"/>
  <c r="A12" i="3" s="1"/>
  <c r="E9" i="3"/>
  <c r="I9" i="3" s="1"/>
  <c r="E8" i="3"/>
  <c r="I8" i="3" s="1"/>
  <c r="E10" i="3"/>
  <c r="I10" i="3" s="1"/>
  <c r="E7" i="3"/>
  <c r="I7" i="3" s="1"/>
  <c r="J40" i="3"/>
  <c r="J26" i="3"/>
  <c r="J35" i="3"/>
  <c r="J37" i="3"/>
  <c r="I18" i="3"/>
  <c r="I22" i="3"/>
  <c r="I21" i="3"/>
  <c r="I20" i="3"/>
  <c r="I26" i="3"/>
  <c r="I23" i="3"/>
  <c r="I29" i="3"/>
  <c r="I31" i="3"/>
  <c r="I35" i="3"/>
  <c r="I32" i="3"/>
  <c r="I34" i="3"/>
  <c r="I45" i="3"/>
  <c r="I40" i="3"/>
  <c r="I37" i="3"/>
  <c r="E38" i="3"/>
  <c r="E39" i="3"/>
  <c r="E27" i="3"/>
  <c r="J29" i="3"/>
  <c r="J32" i="3"/>
  <c r="J34" i="3"/>
  <c r="J23" i="3"/>
  <c r="J31" i="3"/>
  <c r="J22" i="3"/>
  <c r="J21" i="3"/>
  <c r="J20" i="3"/>
  <c r="J18" i="3"/>
  <c r="J51" i="7"/>
  <c r="A9" i="6" l="1"/>
  <c r="A10" i="6" s="1"/>
  <c r="A11" i="6" s="1"/>
  <c r="A12" i="6" s="1"/>
  <c r="A42" i="1"/>
  <c r="A43" i="1" s="1"/>
  <c r="A44" i="1" s="1"/>
  <c r="A45" i="1" s="1"/>
  <c r="A46" i="1" s="1"/>
  <c r="A47" i="1" s="1"/>
  <c r="A48" i="1" s="1"/>
  <c r="A49" i="1" s="1"/>
  <c r="E8" i="8"/>
  <c r="I10" i="5"/>
  <c r="C25" i="8" s="1"/>
  <c r="C26" i="8" s="1"/>
  <c r="C10" i="9" s="1"/>
  <c r="A32" i="4"/>
  <c r="A33" i="4" s="1"/>
  <c r="A34" i="4" s="1"/>
  <c r="A35" i="4" s="1"/>
  <c r="A36" i="4" s="1"/>
  <c r="A37" i="4" s="1"/>
  <c r="I42" i="7"/>
  <c r="A16" i="7"/>
  <c r="A17" i="7" s="1"/>
  <c r="A18" i="7" s="1"/>
  <c r="A19" i="7" s="1"/>
  <c r="A20" i="7" s="1"/>
  <c r="A21" i="7" s="1"/>
  <c r="A22" i="7" s="1"/>
  <c r="A23" i="7" s="1"/>
  <c r="A24" i="7" s="1"/>
  <c r="A25" i="7" s="1"/>
  <c r="A26" i="7" s="1"/>
  <c r="A44" i="4"/>
  <c r="A45" i="4" s="1"/>
  <c r="A46" i="4" s="1"/>
  <c r="A47" i="4" s="1"/>
  <c r="A48" i="4" s="1"/>
  <c r="A49" i="4" s="1"/>
  <c r="I35" i="7"/>
  <c r="I46" i="3"/>
  <c r="I49" i="3" s="1"/>
  <c r="C15" i="8" s="1"/>
  <c r="J46" i="3"/>
  <c r="J47" i="3"/>
  <c r="A75" i="7"/>
  <c r="A76" i="7" s="1"/>
  <c r="A77" i="7" s="1"/>
  <c r="A78" i="7" s="1"/>
  <c r="A79" i="7" s="1"/>
  <c r="E39" i="8"/>
  <c r="E40" i="8"/>
  <c r="A46" i="7"/>
  <c r="J27" i="3"/>
  <c r="I14" i="6"/>
  <c r="C28" i="8" s="1"/>
  <c r="I22" i="6"/>
  <c r="C29" i="8" s="1"/>
  <c r="I39" i="4"/>
  <c r="C21" i="8" s="1"/>
  <c r="I27" i="4"/>
  <c r="C20" i="8" s="1"/>
  <c r="I18" i="4"/>
  <c r="C19" i="8" s="1"/>
  <c r="I51" i="1"/>
  <c r="C10" i="8" s="1"/>
  <c r="I70" i="7"/>
  <c r="C37" i="8" s="1"/>
  <c r="I81" i="7"/>
  <c r="C38" i="8" s="1"/>
  <c r="I28" i="7"/>
  <c r="C33" i="8" s="1"/>
  <c r="I12" i="4"/>
  <c r="C18" i="8" s="1"/>
  <c r="I11" i="1"/>
  <c r="C7" i="8" s="1"/>
  <c r="A25" i="1"/>
  <c r="A26" i="1" s="1"/>
  <c r="A27" i="1" s="1"/>
  <c r="A28" i="1" s="1"/>
  <c r="I14" i="3"/>
  <c r="C13" i="8" s="1"/>
  <c r="A19" i="3"/>
  <c r="A21" i="3" s="1"/>
  <c r="A22" i="3" s="1"/>
  <c r="A23" i="3" s="1"/>
  <c r="A24" i="3" s="1"/>
  <c r="A26" i="3" s="1"/>
  <c r="I38" i="3"/>
  <c r="I39" i="3"/>
  <c r="I27" i="3"/>
  <c r="J53" i="7"/>
  <c r="I49" i="7"/>
  <c r="I48" i="7"/>
  <c r="J47" i="7"/>
  <c r="I47" i="7"/>
  <c r="C30" i="8" l="1"/>
  <c r="C11" i="9" s="1"/>
  <c r="A48" i="7"/>
  <c r="A49" i="7" s="1"/>
  <c r="A50" i="7" s="1"/>
  <c r="A51" i="7" s="1"/>
  <c r="A52" i="7" s="1"/>
  <c r="A53" i="7" s="1"/>
  <c r="I42" i="3"/>
  <c r="C14" i="8" s="1"/>
  <c r="C16" i="8" s="1"/>
  <c r="C35" i="8"/>
  <c r="C34" i="8"/>
  <c r="A29" i="1"/>
  <c r="A30" i="1" s="1"/>
  <c r="A31" i="1" s="1"/>
  <c r="A32" i="1" s="1"/>
  <c r="A33" i="1" s="1"/>
  <c r="A34" i="1" s="1"/>
  <c r="I60" i="7"/>
  <c r="C36" i="8" s="1"/>
  <c r="J75" i="7"/>
  <c r="J74" i="7"/>
  <c r="J73" i="7"/>
  <c r="J65" i="7"/>
  <c r="J64" i="7"/>
  <c r="J63" i="7"/>
  <c r="J55" i="7"/>
  <c r="J50" i="7"/>
  <c r="J49" i="7"/>
  <c r="J48" i="7"/>
  <c r="J45" i="7"/>
  <c r="J39" i="7"/>
  <c r="J38" i="7"/>
  <c r="J17" i="7"/>
  <c r="J14" i="7"/>
  <c r="J15" i="7"/>
  <c r="J18" i="7"/>
  <c r="J19" i="7"/>
  <c r="J20" i="7"/>
  <c r="J21" i="7"/>
  <c r="J42" i="7" l="1"/>
  <c r="C46" i="8"/>
  <c r="C12" i="9" s="1"/>
  <c r="A54" i="7"/>
  <c r="A55" i="7" s="1"/>
  <c r="A56" i="7" s="1"/>
  <c r="A58" i="7" s="1"/>
  <c r="C8" i="9"/>
  <c r="J70" i="7"/>
  <c r="D37" i="8" s="1"/>
  <c r="E37" i="8" s="1"/>
  <c r="J81" i="7"/>
  <c r="D38" i="8" s="1"/>
  <c r="E38" i="8" s="1"/>
  <c r="J60" i="7"/>
  <c r="D36" i="8" s="1"/>
  <c r="J13" i="7"/>
  <c r="J28" i="7" s="1"/>
  <c r="D33" i="8" s="1"/>
  <c r="J33" i="7"/>
  <c r="J11" i="6"/>
  <c r="J10" i="6"/>
  <c r="J8" i="6"/>
  <c r="J20" i="6"/>
  <c r="J19" i="6"/>
  <c r="J18" i="6"/>
  <c r="J17" i="6"/>
  <c r="J32" i="7"/>
  <c r="J8" i="5"/>
  <c r="J7" i="5"/>
  <c r="J25" i="4"/>
  <c r="J23" i="4"/>
  <c r="J24" i="4"/>
  <c r="I46" i="4"/>
  <c r="I51" i="4" s="1"/>
  <c r="C22" i="8" s="1"/>
  <c r="C23" i="8" s="1"/>
  <c r="C9" i="9" s="1"/>
  <c r="J46" i="4"/>
  <c r="J48" i="4"/>
  <c r="J42" i="4"/>
  <c r="J21" i="4"/>
  <c r="J15" i="4"/>
  <c r="J16" i="4"/>
  <c r="J8" i="4"/>
  <c r="J35" i="4"/>
  <c r="J34" i="4"/>
  <c r="J33" i="4"/>
  <c r="J32" i="4"/>
  <c r="J31" i="4"/>
  <c r="J30" i="4"/>
  <c r="J49" i="4"/>
  <c r="J47" i="4"/>
  <c r="J45" i="4"/>
  <c r="J22" i="4"/>
  <c r="J10" i="4"/>
  <c r="J9" i="4"/>
  <c r="J7" i="4"/>
  <c r="J10" i="5" l="1"/>
  <c r="D25" i="8" s="1"/>
  <c r="J35" i="7"/>
  <c r="E33" i="8"/>
  <c r="E36" i="8"/>
  <c r="D26" i="8"/>
  <c r="E25" i="8"/>
  <c r="J39" i="4"/>
  <c r="D21" i="8" s="1"/>
  <c r="E21" i="8" s="1"/>
  <c r="J14" i="6"/>
  <c r="D28" i="8" s="1"/>
  <c r="J22" i="6"/>
  <c r="D29" i="8" s="1"/>
  <c r="E29" i="8" s="1"/>
  <c r="J27" i="4"/>
  <c r="D20" i="8" s="1"/>
  <c r="E20" i="8" s="1"/>
  <c r="J51" i="4"/>
  <c r="D22" i="8" s="1"/>
  <c r="E22" i="8" s="1"/>
  <c r="J12" i="4"/>
  <c r="D18" i="8" s="1"/>
  <c r="J18" i="4"/>
  <c r="D19" i="8" s="1"/>
  <c r="E19" i="8" s="1"/>
  <c r="J39" i="3"/>
  <c r="J38" i="3"/>
  <c r="J42" i="3" s="1"/>
  <c r="D14" i="8" s="1"/>
  <c r="J10" i="3"/>
  <c r="J45" i="3"/>
  <c r="J49" i="3" s="1"/>
  <c r="D15" i="8" s="1"/>
  <c r="E15" i="8" s="1"/>
  <c r="J9" i="3"/>
  <c r="J8" i="3"/>
  <c r="J7" i="3"/>
  <c r="J49" i="1"/>
  <c r="J48" i="1"/>
  <c r="J46" i="1"/>
  <c r="J45" i="1"/>
  <c r="J43" i="1"/>
  <c r="J44" i="1"/>
  <c r="J41" i="1"/>
  <c r="J40" i="1"/>
  <c r="J39" i="1"/>
  <c r="J34" i="1"/>
  <c r="J32" i="1"/>
  <c r="J31" i="1"/>
  <c r="J30" i="1"/>
  <c r="J28" i="1"/>
  <c r="J27" i="1"/>
  <c r="J26" i="1"/>
  <c r="J25" i="1"/>
  <c r="J24" i="1"/>
  <c r="J23" i="1"/>
  <c r="J22" i="1"/>
  <c r="J21" i="1"/>
  <c r="J20" i="1"/>
  <c r="J9" i="1"/>
  <c r="J8" i="1"/>
  <c r="J7" i="1"/>
  <c r="I22" i="1"/>
  <c r="I36" i="1" s="1"/>
  <c r="C9" i="8" s="1"/>
  <c r="C11" i="8" s="1"/>
  <c r="C7" i="9" s="1"/>
  <c r="C15" i="9" s="1"/>
  <c r="A27" i="3"/>
  <c r="A28" i="3" s="1"/>
  <c r="A29" i="3" s="1"/>
  <c r="A30" i="3" s="1"/>
  <c r="A32" i="3" s="1"/>
  <c r="A33" i="3" s="1"/>
  <c r="A35" i="3" s="1"/>
  <c r="J36" i="1" l="1"/>
  <c r="D9" i="8" s="1"/>
  <c r="E9" i="8" s="1"/>
  <c r="J14" i="3"/>
  <c r="D13" i="8" s="1"/>
  <c r="E13" i="8" s="1"/>
  <c r="D35" i="8"/>
  <c r="E35" i="8" s="1"/>
  <c r="D34" i="8"/>
  <c r="D30" i="8"/>
  <c r="E28" i="8"/>
  <c r="D10" i="9"/>
  <c r="E10" i="9" s="1"/>
  <c r="E26" i="8"/>
  <c r="E18" i="8"/>
  <c r="D23" i="8"/>
  <c r="E14" i="8"/>
  <c r="C18" i="9"/>
  <c r="A36" i="3"/>
  <c r="A37" i="3" s="1"/>
  <c r="A38" i="3" s="1"/>
  <c r="A39" i="3" s="1"/>
  <c r="A40" i="3" s="1"/>
  <c r="A46" i="3" s="1"/>
  <c r="A47" i="3" s="1"/>
  <c r="J51" i="1"/>
  <c r="D10" i="8" s="1"/>
  <c r="E10" i="8" s="1"/>
  <c r="J11" i="1"/>
  <c r="D7" i="8" s="1"/>
  <c r="A8" i="10"/>
  <c r="A9" i="10" s="1"/>
  <c r="A10" i="10" s="1"/>
  <c r="A11" i="10" s="1"/>
  <c r="A12" i="10" s="1"/>
  <c r="D46" i="8" l="1"/>
  <c r="D16" i="8"/>
  <c r="E16" i="8" s="1"/>
  <c r="D11" i="8"/>
  <c r="E7" i="8"/>
  <c r="E34" i="8"/>
  <c r="E30" i="8"/>
  <c r="D11" i="9"/>
  <c r="E11" i="9" s="1"/>
  <c r="D9" i="9"/>
  <c r="E9" i="9" s="1"/>
  <c r="E23" i="8"/>
  <c r="C19" i="9"/>
  <c r="E18" i="9"/>
  <c r="D8" i="9" l="1"/>
  <c r="E8" i="9" s="1"/>
  <c r="D7" i="9"/>
  <c r="E7" i="9" s="1"/>
  <c r="E11" i="8"/>
  <c r="D12" i="9"/>
  <c r="E12" i="9" s="1"/>
  <c r="E46" i="8"/>
  <c r="E19" i="9"/>
  <c r="C21" i="9"/>
  <c r="D15" i="9" l="1"/>
  <c r="D20" i="9" s="1"/>
  <c r="E20" i="9" s="1"/>
  <c r="C22" i="9"/>
  <c r="E15" i="9" l="1"/>
  <c r="D21" i="9"/>
  <c r="D22" i="9" s="1"/>
  <c r="D24" i="9" s="1"/>
  <c r="C24" i="9"/>
  <c r="E22" i="9" l="1"/>
  <c r="E24" i="9"/>
  <c r="E26" i="9" s="1"/>
  <c r="E28" i="9" s="1"/>
  <c r="E21" i="9"/>
  <c r="A30" i="11"/>
  <c r="A31" i="11" s="1"/>
  <c r="A32" i="11" s="1"/>
  <c r="A33" i="11" s="1"/>
  <c r="A34" i="11" s="1"/>
  <c r="A35" i="11" s="1"/>
  <c r="A36" i="11" s="1"/>
  <c r="A37" i="11" l="1"/>
  <c r="A38" i="11" s="1"/>
  <c r="A39" i="11" s="1"/>
  <c r="A40" i="11" s="1"/>
  <c r="A41" i="11" s="1"/>
  <c r="A8" i="11" s="1"/>
  <c r="A42" i="11" l="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203" i="7"/>
  <c r="A204" i="7" l="1"/>
  <c r="A205" i="7" l="1"/>
  <c r="A206" i="7" s="1"/>
  <c r="A207" i="7" s="1"/>
  <c r="A208" i="7" s="1"/>
</calcChain>
</file>

<file path=xl/sharedStrings.xml><?xml version="1.0" encoding="utf-8"?>
<sst xmlns="http://schemas.openxmlformats.org/spreadsheetml/2006/main" count="1081" uniqueCount="548">
  <si>
    <t>Homlokzati keretállványok, fém keretvázból, szintenkénti pallóterítéssel, korláttal, lábdeszkával, 0,75-1,20 m padlószélességgel, munkapadló távolság 2,50 m, 2,00 kN/m² terhelhetőséggel, állványépítés MSZ és alkalmazástechnikai kézikönyv szerint, 6,00 m munkapadló magasságig</t>
  </si>
  <si>
    <t>m2</t>
  </si>
  <si>
    <t>15-012-21.1</t>
  </si>
  <si>
    <t>Védőtető készítése, homlokzati keretállványra</t>
  </si>
  <si>
    <t>15-012-23.1</t>
  </si>
  <si>
    <t>Védőfüggöny szerelése állványszerkezetre, műanyag hálóból</t>
  </si>
  <si>
    <t>15-012-25.1</t>
  </si>
  <si>
    <t>Vakolat leverése homlokzatról 2,5 cm vastagságig</t>
  </si>
  <si>
    <t>36-000-1.3</t>
  </si>
  <si>
    <t>Homlokzati vakolt párkány és nyíláskerethúzás leverése 50 cm kiterített szélességig</t>
  </si>
  <si>
    <t>36-000-10.1</t>
  </si>
  <si>
    <t>m</t>
  </si>
  <si>
    <t>Felület portalanítása, előnedvesítése porlasztott vízsugárral, vakolás előtt</t>
  </si>
  <si>
    <t>36-002-1</t>
  </si>
  <si>
    <t>Tapadóhíd képzése gyári zsákos gúzanyaggal, kézi erővel,
Baumit Előfröcskölő 2 mm</t>
  </si>
  <si>
    <t>36-002-11.1-0415910</t>
  </si>
  <si>
    <t>Lábazati vakolatok; lábazati alapvakolat felhordása kézi erővel, 2 cm vastagságban,
Baumit SockelPutz Lábazati alapvakolat</t>
  </si>
  <si>
    <t>36-007-9.1.1-0415939</t>
  </si>
  <si>
    <t>Lábazati vakolatok; lábazati alapvakolat felhordása kézi erővel, többlet minden további 1 cm vastagságban,
Baumit SockelPutz Lábazati alapvakolat</t>
  </si>
  <si>
    <t>36-007-9.1.2-0415939</t>
  </si>
  <si>
    <t>Vakolatjavítás homlokzaton, a meglazult, sérült vakolat előzetes leverésével, durva, sima kivitelben, hiánypótlás 5-25% között,
Baumit UniPutz (Uni vakolat)</t>
  </si>
  <si>
    <t>36-090-1.2.2-0415920</t>
  </si>
  <si>
    <t>M</t>
  </si>
  <si>
    <t>36-002-4-1415917</t>
  </si>
  <si>
    <t>36-005-21.2.6.2-0415360</t>
  </si>
  <si>
    <t>36-007-9.2-0415421</t>
  </si>
  <si>
    <t>36-051-6.2.1-0149065</t>
  </si>
  <si>
    <t>36-051-6.2.2-0149067</t>
  </si>
  <si>
    <t>36-051-6.2.8-0149066</t>
  </si>
  <si>
    <t>48-010-1.1.2.2-0113313</t>
  </si>
  <si>
    <t>48-010-1.4.2.2-0113368</t>
  </si>
  <si>
    <t>48-010-1.6.2.2-0092691</t>
  </si>
  <si>
    <t>48-010-1.6.2.2-0092699</t>
  </si>
  <si>
    <t>48-021-1.51.2.2.1-0091314</t>
  </si>
  <si>
    <t>Szigetelések rögzítése; Hőszigetelő táblák pontszerű mechanikai rögzítése, homlokzaton, beton aljzatszerkezethez, műanyag vagy fém beütőszeges/csavaros műanyag beütődübelekkel,
EJOT H4 eco 195 mm, univerzális, acél feszítő-, műanyag beütőelemes dübel optimalizált feszítőzónával</t>
  </si>
  <si>
    <t>db</t>
  </si>
  <si>
    <t>EJOT H4 eco 235 mm, univerzális, acél feszítő-, műanyag beütőelemes dübel optimalizált feszítőzónával</t>
  </si>
  <si>
    <t>48-021-1.51.2.2.1-0091316</t>
  </si>
  <si>
    <t>Fa vagy műanyag nyílászáró szerkezetek bontása, ajtó, ablak vagy kapu,
2,00 m²-ig</t>
  </si>
  <si>
    <t>44-000-1.1</t>
  </si>
  <si>
    <t>44-000-1.2</t>
  </si>
  <si>
    <t>44-000-1.3</t>
  </si>
  <si>
    <t>44-000-1.4</t>
  </si>
  <si>
    <t>2,01-4,00 m² között</t>
  </si>
  <si>
    <t>4,01-6,00 m² között</t>
  </si>
  <si>
    <t>6,01 m² felett</t>
  </si>
  <si>
    <t>45-006-1.3-0990138</t>
  </si>
  <si>
    <t>dm3</t>
  </si>
  <si>
    <t>45-006-1.5-0240131</t>
  </si>
  <si>
    <t>Tömítések, poliuretán habbal,
TREMCO Illbruck FM310 4 évszakos, egykomponensű szerelőhab</t>
  </si>
  <si>
    <t>Tömítések, szilikon tömítőanyaggal,
TREMCO Illbruck FA101 Ablak- és Peremtömítő szilikon</t>
  </si>
  <si>
    <t>Beton aljzatok, járdák bontása 10 cm vastagság felett, acélháló erősítésű kavicsbetonból</t>
  </si>
  <si>
    <t>31-000-14.4</t>
  </si>
  <si>
    <t>m3</t>
  </si>
  <si>
    <t>Munkahelyi depóniából építési törmelék konténerbe rakása,  kézi erővel, önálló munka esetén elszámolva, konténer szállítás nélkül</t>
  </si>
  <si>
    <t>21-011-12</t>
  </si>
  <si>
    <t>Építési törmelék konténeres elszállítása, lerakása, lerakóhelyi díjjal, 5,0 m³-es konténerbe</t>
  </si>
  <si>
    <t>21-011-11.3</t>
  </si>
  <si>
    <t>Letaposott-szennyezett agyag, illetve földpadló, feltöltés bontása, kihordása pincéből depóniába (meglévő létesítmények padozata), száraz, földnedves</t>
  </si>
  <si>
    <t>21-003-10.1</t>
  </si>
  <si>
    <t>Feltöltések alap- és lábazati falak közé és alagsori vagy alá nem pincézett földszinti padozatok alá, az anyag szétterítésével, mozgatásával, kézi döngöléssel, osztályozatlan kavicsból,
Természetes szemmegoszlású kavics, THK  0/32 Q-TT, Ártánd</t>
  </si>
  <si>
    <t>21-011-7.2-0120723</t>
  </si>
  <si>
    <t>Tömörítés bármely tömörítési osztályban gépi erővel, kis felületen, tömörségi fok: 93%</t>
  </si>
  <si>
    <t>21-008-2.2.7</t>
  </si>
  <si>
    <t>Horonyvésés, téglafalban, 50,01-100,00 cm² keresztmetszet között</t>
  </si>
  <si>
    <t>33-063-3.2.5</t>
  </si>
  <si>
    <t>Beton aljzat készítése helyszínen kevert betonból, kézi továbbítással és bedolgozással, merev aljzatra, tartószerkezetre léccel lehúzva, kavicsbetonból, C 8/10 - C 16/20 kissé képlékeny konzisztenciájú betonból, 6 cm vastagság felett,
C12/15 - X0b(H) kissé képlékeny kavicsbeton keverék CEM 32,5 pc. D↓max = 16 mm, m = 6,4 finomsági modulussal</t>
  </si>
  <si>
    <t>31-030-11.1.1.2-0112110</t>
  </si>
  <si>
    <t>Talajnedvesség elleni szigetelés; Bitumenes lemez szigetelés aljzatának kellősítése, egy rétegben, vízszintes felületen, oldószeres hideg bitumenmázzal (száraz felületen),
ICOPAL SIPLAST PRIMER® Speed SBS oldószeres bitumenes alapozó</t>
  </si>
  <si>
    <t>48-002-1.1.1.1.1-0099073</t>
  </si>
  <si>
    <t>Talajnedvesség elleni szigetelés; Padlószigetelés, egy rétegben, minimum 4,0 mm vastag elasztomerbitumenes (SBS modifikált vagy SBS/oxidált duo) lemezzel, aljzathoz foltonként vagy sávokban olvasztásos ragasztással, átlapolásoknál teljes felületű hegesztéssel fektetve,
VILLAS E-PV 4 F/K Extra, poliészterfátyol hordozórétegű, 4 mm vastagságú, elasztomerbitumenes (SBS modifikált) lemez</t>
  </si>
  <si>
    <t>48-002-1.3.1.2-0099010</t>
  </si>
  <si>
    <t>Födém; Padló hőszigetelő anyag elhelyezése, vízszintes felületen, aljzatbeton alá, úsztató rétegként, expandált polisztirolhab lemezzel,
AUSTROTHERM lépéshang-szigetelő lemez, AT-L2 1000x500x20 mm</t>
  </si>
  <si>
    <t>48-007-41.1.1.1.2-0113220</t>
  </si>
  <si>
    <t>Födém; Padló peremszigetelés elhelyezése úsztatott aljzatbeton esetén, extrudált polietilén szigetelő szalaggal,
AUSTROTHERM AT-PE sáv 10/100 mm</t>
  </si>
  <si>
    <t>48-007-41.2.3-0113379</t>
  </si>
  <si>
    <t>Alátét- és elválasztó rétegek beépítése, védőlemez-, műanyagfátyol-, fólia vagy műanyagfilc egy rétegben, átlapolással, rögzítés nélkül, padló, födém szigeteléseknél, vízszintes felületen,
AUSTROTHERM polietilén fólia, 0,09 mm vastagságú, 2 m szélességű</t>
  </si>
  <si>
    <t>48-007-56.1.3.1-0113544</t>
  </si>
  <si>
    <t>Úsztatott vagy fűtési esztrich készítése, helyszínen kevert, cementbázisú esztrichből, C12 szilárdsági osztálynak megfelelően 6 cm vastagságban</t>
  </si>
  <si>
    <t>31-031-2.1.1</t>
  </si>
  <si>
    <t>Hegesztett betonacél háló szerelése tartószerkezetbe,
FERALPI Sp5K1515 építési síkháló; 5,00 x 2,15 m; 150 x 150 mm osztással Ø 5,00 / 5,00 BHB55.50</t>
  </si>
  <si>
    <t>31-001-2-0452002</t>
  </si>
  <si>
    <t>kg</t>
  </si>
  <si>
    <t>31-001-2-0451501</t>
  </si>
  <si>
    <t>Padlóburkolat hordozószerkezetének felületelőkészítése beltérben, beton alapfelületen önterülő felületkiegyenlítés készítése 5 mm átlagos rétegvastagságban,
MAPEI Ultraplan Renovation önterülő aljzatkiegyenlítő</t>
  </si>
  <si>
    <t>42-011-2.1.1.4.1-0313032</t>
  </si>
  <si>
    <t>42-022-1.1.1.2.1.1-0313021</t>
  </si>
  <si>
    <t>Újonnan készült aljzat kiegyenlítése rugalmas burkolat alá,  parketta és laminált padló úsztatott fektetéshez, (átlagos igénybevétel) nedves cementesztrich és betonpadló felület előkészítése, 3 mm vastagságban (&lt;4 CM%),
HENKEL Thomsit DA gyorskötő aljzatkiegyenlítő + HENKEL Thomsit R 755 epoxi alapozó, kétkomponensű</t>
  </si>
  <si>
    <t>42-041-1.2.1-0310560</t>
  </si>
  <si>
    <t>42-042-11.1</t>
  </si>
  <si>
    <t>PVC burkolat fektetése kiegyenlített aljzatra, ajánlott ragasztó PVC burkolat fektetéséhez (a ragasztás ideje a burkolási tételeknél szerepel),
HENKEL Thomsit K 188 E speciális extra minőségű ragasztó, diszperziós</t>
  </si>
  <si>
    <t>42-042-11.9-0310355</t>
  </si>
  <si>
    <t>42-042-31.1.1</t>
  </si>
  <si>
    <t>PVC burkolat fektetése kiegyenlített aljzatra, habosított, heterogén PVC-lemezből (ragasztó anyag külön tételben kiírva)
GRABOPLAST Diamond Standart Metal</t>
  </si>
  <si>
    <t>Lábazat kialakítása, PVC-burkolatból, felhajtással, PVC- hohlkehl profilba (szegőléc) bújtatva
GRABOPLAST Diamond Standart Metal
PROFILPLAST Hohlkehl profil - 100mm, fehér</t>
  </si>
  <si>
    <t>Födém; Mennyezet alulról hűlő födém hőszigetelése, utólag elhelyezve, vízszintes felületen, dűbelezve (rögzítés külön tételben), szálas szigetelő anyaggal (üveggyapot, kőzetgyapot),
ROCKWOOL Ceilingrock pince-és garázsfödémek esztétikus hőszigetelése 150 mm</t>
  </si>
  <si>
    <t>48-007-41.3.1.1-0093215</t>
  </si>
  <si>
    <t>48-021-1.51.1.2.2-0481981</t>
  </si>
  <si>
    <t>Födém; Padló hőszigetelő anyag elhelyezése, vízszintes felületen, párnafák vagy álpadló tartószerkezet közé, szálas szigetelő anyaggal (üveggyapot, kőzetgyapot),
ROCKWOOL Multirock többcélú kőzetgyapot lemez 100 mm</t>
  </si>
  <si>
    <t>48-007-41.1.2.1-0092025</t>
  </si>
  <si>
    <t>ROCKWOOL Multirock többcélú kőzetgyapot lemez 150 mm</t>
  </si>
  <si>
    <t>48-007-41.1.2.1-0092009</t>
  </si>
  <si>
    <t>Födém; Padló hőszigetelő anyag elhelyezése, vízszintes felületen, párnafák alá, szálas szigetelőanyaggal (üveggyapot, kőzetgyapot),
ROCKWOOL Monrock Max E inhomogén (kétrétegű) kőzetgyapot lemez 100 mm</t>
  </si>
  <si>
    <t>48-007-41.1.3.1-0092164</t>
  </si>
  <si>
    <t>ROCKWOOL Monrock Max E inhomogén (kétrétegű) kőzetgyapot lemez 150 mm</t>
  </si>
  <si>
    <t>48-007-41.1.3.1-0092168</t>
  </si>
  <si>
    <t>35-002-19.2-0115109</t>
  </si>
  <si>
    <t>Vízálló, műgyantával stabilizált faforgácslap (OSB) elhelyezése négy oldalt nútolt kivitelben, függőleges vagy vízszintes felületen,
Vízálló faforgácslap (OSB), négyoldalt nútolt, 2500x625x15 mm méretű</t>
  </si>
  <si>
    <t>35-005-1.2.2-0211022</t>
  </si>
  <si>
    <t>Szerelt gipszkarton álmennyezet fém vázszerkezetre (duplasoros), választható függesztéssel, csavarfejek és illesztések alapglettelve (Q2 minőségben),  nem látszó bordázattal, 40 cm bordatávolsággal (CD60/27), 10 m² összefüggő felület felett, 1 rtg. impregnált 12,5 mm vtg. gipszkarton borítással,
RIGIPS impregnált építőlemez RBI 12,5 mm, függesztő huzallal</t>
  </si>
  <si>
    <t>39-003-1.2.2.2.1-0120021</t>
  </si>
  <si>
    <t>K</t>
  </si>
  <si>
    <t>Ablakkáva kialakítása horganyzott vázszerkezetre, egyrétegben 12,5 mm-es
gipszkartonból, 15 cm szélességig</t>
  </si>
  <si>
    <t>42-012-1.1.1.2.1.1-0313021</t>
  </si>
  <si>
    <t>Belső festéseknél felület előkészítése, részmunkák; felület glettelése zsákos kiszerelésű anyagból (alapozóval, sarokvédelemmel), bármilyen padozatú helyiségben, vakolt felületen, 1,5 mm vastagságban tagolt felületen,
Rigips Rimano 0-3 belsőtéri nagyszilárdságú glettelő gipsz</t>
  </si>
  <si>
    <t>47-000-1.99.1.2.1.2-0218023</t>
  </si>
  <si>
    <t>Diszperziós festés műanyag bázisú vizes-diszperziós  fehér vagy gyárilag színezett festékkel, új vagy régi lekapart, előkészített alapfelületen, vakolaton, két rétegben, tagolt sima felületen,
TRILAK Héra diszperziós belső falfesték, fehér</t>
  </si>
  <si>
    <t>47-011-15.1.1.2-0151171</t>
  </si>
  <si>
    <t>Horonyvésés, téglafalban, többlet minden további 50 cm² keresztmetszetenként</t>
  </si>
  <si>
    <t>33-063-3.2.6</t>
  </si>
  <si>
    <t>Teherhordó és kitöltő falazat készítése, égetett agyag-kerámia termékekből, normál elemekből, 380 mm falvastagságban, 250x120x65 mm-es méretű kisméretű tömör téglából vagy kevéslyukú téglából, cementhabarcsba falazva,
Kisméretű tömör tégla 250x120x65 mm nsz. M 10 (Hf100-c) falazó cementhabarcs</t>
  </si>
  <si>
    <t>33-001-1.1.1.3.1.1.3-3110001</t>
  </si>
  <si>
    <t>Csorbázatvésés, 26-38 cm szélesség között</t>
  </si>
  <si>
    <t>33-000-61.3</t>
  </si>
  <si>
    <t>Oldalfalvakolat készítése, kézi felhordással, zsákos kiszerelésű szárazhabarcsból, sima, normál mész-cement vakolat, 1 cm vastagságban,
Baumit UniPutz (Uni vakolat)</t>
  </si>
  <si>
    <t>36-002-1.1.1.1.1-0415920</t>
  </si>
  <si>
    <t>Fal-, pillér és oszlopburkolat hordozószerkezetének felületelőkészítése beltérben, tégla, beton és vakolt alapfelületen, simító felületkiegyenlítés készítése, 5 mm átlagos rétegvastagságban,
MAPEI Nivoplan kiegyenlítőhabarcs, szürke</t>
  </si>
  <si>
    <t>42-011-1.1.1.3.1-0313451</t>
  </si>
  <si>
    <t>Fal-, pillér-, oszlopburkolat készítése beltérben, tégla, beton, vakolt alapfelületen, gres, kőporcelán lappal, kötésben vagy hálósan, 3-5 mm vtg. ragasztóba rakva, 1-10 mm fugaszélességgel, 20x20 - 40x40 cm közötti lapmérettel,
MAPEI Keraflex Light S1 C2TE S1 cementkötésű ragasztóhabarcs, szürke, Ultracolor Plus fugázó, szürke
ZALAKERÁMIA Carneval ZBR 501/502/578 20x20x0,7cm</t>
  </si>
  <si>
    <t>45-001-3.1-0134750</t>
  </si>
  <si>
    <t>45-011-1.1.1.2-0185002</t>
  </si>
  <si>
    <t>45-011-1.1.1.3-0185003</t>
  </si>
  <si>
    <t>45-011-1.1.2.1-0185011</t>
  </si>
  <si>
    <t>Belső festéseknél felület előkészítése, részmunkák; többrétegű enyves festék lekaparása és lemosása, bármilyen padozatú helyiségben, tagolt felületen</t>
  </si>
  <si>
    <t>47-000-1.2.1.2</t>
  </si>
  <si>
    <t>47-011-15.4.1.2-0148285</t>
  </si>
  <si>
    <t>Kiegészítő szerelvények elhelyezése beltéri ajtólapokhoz,
KABA Elzett 751 30+35mm matt nikkel cilinderbetét, 3db kulccsal, azonos zárlatban</t>
  </si>
  <si>
    <t>Kiegészítő szerelvények elhelyezése beltéri ajtólapokhoz,
Alu szellőzőrács garnitúra, 400x80mm, F1 felülettel</t>
  </si>
  <si>
    <t>M-00 jelű, fix kialakítású
névleges méret = 600x600mm,
alul 40mm magas párkányfogadó profillal</t>
  </si>
  <si>
    <t>M-01a jelű, bukó működtetésű
névleges méret = 1170x800mm,
alul 40mm magas párkányfogadó profillal</t>
  </si>
  <si>
    <t>M-01 jelű, bukó működtetésű
névleges méret = 1270x850mm,
alul 40mm magas párkányfogadó profillal,  három oldalon 50mm széles toktoldóval</t>
  </si>
  <si>
    <t>M-02 jelű, középfelnyíló+bukó működtetésű
névleges méret = 1470x1750mm,
alul 40mm magas párkányfogadó profillal,  három oldalon 50mm széles toktoldóval</t>
  </si>
  <si>
    <t>M-03 jelű, egy függőleges toktoldóval, középfelnyíló+bukó/nyíló működtetésű
névleges méret = 2270x1750mm,
alul 40mm magas párkányfogadó profillal,  három oldalon 50mm széles toktoldóval</t>
  </si>
  <si>
    <t>Homlokzati nyílászárók belső oldali lég- és párazáró csatlakoztatása falszerkezethez,
Öntapadós műanyag takaróléc, törhető, 30/40mm széles, fehér</t>
  </si>
  <si>
    <t>Belső oldali könyöklő elhelyezése homlokzati nyílászáróhoz,
Anyagában színezett fehér, kamrás, műanyag párkány, UV stabil pvc alapanyagból, műanyag végzárókkal, 20mm vtg</t>
  </si>
  <si>
    <t>Ablak- vagy szemöldökpárkány bevonatos alumínium lemezből, 50 cm kiterített szélességig,
Ablakpárkány PREFALZ alumínium szalagból sima felülettel, 0,7 mm vtg., Ksz: 50 cm</t>
  </si>
  <si>
    <t>43-003-8.3.1-0149649</t>
  </si>
  <si>
    <t>Műanyag kültéri nyílászárók, hőszigetelt, fokozott légzárású ablak elhelyezése előre kihagyott falnyílásba, tömítés nélkül (szerelvényezve, finombeállítással), 4,00 m kerület felett,
SCHÜCO Corona 82 SI Classic hatkamrás műanyag nyílászáró, 3mm-es profil főfal vastagsággal, 82mm profilmélységgel, három tömítési síkkal (Uf=1,1W/m2K), több ponton záródó vasalatrendszer (pl. SCHÜCO VarioTec), hibásműködtetés-gátló, nyitáshatároló és résszellőző funkcióval, műanyag kilinccsel (pl. SCÜCO Variotec),
4:-12-4-12-:4mm hőszigetelő üvegezéssel (Uw=0,7W/m2K)</t>
  </si>
  <si>
    <t>Műanyag kültéri nyílászárók, hőszigetelt, fokozott légzárású ablak elhelyezése előre kihagyott falnyílásba, tömítés nélkül (szerelvényezve, finombeállítással), 4,00 m kerületig,
SCHÜCO Corona 82 SI Classic hatkamrás műanyag nyílászáró, 3mm-es profil főfal vastagsággal, 82mm profilmélységgel (Uf=1,1W/m2K),
4:-12-4-12-:4mm hőszigetelő üvegezéssel (Uw=0,7W/m2K)</t>
  </si>
  <si>
    <t>M-04 jelű, egy vízszintes tokosztóval, felül fix, alul nyíló kialakítással
névleges méret = 1400x2950mm,
alul hőhídmegszakított alumínium küszöbbel, három oldalon 50mm széles toktoldóval, kilincses működtetésű pánikzárral</t>
  </si>
  <si>
    <t>M-06 jelű, két vízszintes és két függőleges tokosztóval, felül és oldalt fix, alul nyíló kialakítással
névleges méret = 2500x2950mm,
alul hőhídmegszakított alumínium küszöbbel, három oldalon 50mm széles toktoldóval</t>
  </si>
  <si>
    <t>M-07 jelű, egy vízszintes tokosztóval, felül fix, alul aszimmetrikus nyíló kialakítással
névleges méret = (500+1100)x3400mm,
alul hőhídmegszakított alumínium küszöbbel, három oldalon 50mm széles toktoldóval, kilincses működtetésű pánikzárral</t>
  </si>
  <si>
    <t>Műanyag kültéri nyílászárók elhelyezése előre kihagyott falnyílásba, hőszigetelt, fokozott légzárású bejárati ajtó, tömítés nélkül (szerelvényezve, finom beállítással), 5,01-10,00 m kerület között,
SCHÜCO Corona 82 SI Classic hatkamrás műanyag nyílászáró, 3mm-es profil főfal vastagsággal, 82mm profilmélységgel, három tömítési síkkal (Uf=1,1W/m2K), több ponton záródó vasalatrendszer (pl. SCHÜCO VarioTec), műanyag gomb-kilinccsel (pl. SCÜCO Variotec),
2-32-2mm hőszigetelő STADUR panellel (Uw=0,78W/m2K)</t>
  </si>
  <si>
    <t>M-09 jelű, nyíló (kifelé) működtetésű
névleges méret = 1200x2450mm,
alul hőhídmegszakított alumínium küszöbbel, három oldalon 50mm széles toktoldóval</t>
  </si>
  <si>
    <t>Bejáratok, nyílászárók védelme, hidraulikus ajtóbehúzó ajtóra vagy ajtótokra szerelve, beltéri kivitelben,
GEZE TS 3000V ajtócsukó test, EN1-4, csúszósínes karral, 80kg-ig, maximális ajtószárny szélesség: 1100 mm, felület: ezüst, burkolat színe választható: RAL9016 Verkehrsweiss</t>
  </si>
  <si>
    <t>72-012-11.7.1.1-0125502</t>
  </si>
  <si>
    <t>72-012-11.9-0125597</t>
  </si>
  <si>
    <t>48-010-1.6.2.3-1092699</t>
  </si>
  <si>
    <t>Bontási munkák</t>
  </si>
  <si>
    <t>Homlokzati nyílászárók beépítése</t>
  </si>
  <si>
    <t>Helyreállítási munkák</t>
  </si>
  <si>
    <t>Zsaluzás és állványozás</t>
  </si>
  <si>
    <t>Vakolás</t>
  </si>
  <si>
    <t>Szigetelés</t>
  </si>
  <si>
    <t>Bontási törmelék konténeres elszállítása, lerakása, lerakóhelyi díjjal, 5,0 m³-es konténerbe</t>
  </si>
  <si>
    <t>Irtás, föld- és sziklamunka</t>
  </si>
  <si>
    <t>Helyszíni beton és vasbeton munkák</t>
  </si>
  <si>
    <t>Födém; Padló hőszigetelő anyag elhelyezése, vízszintes felületen, aljzatbeton alá, expandált polisztirolhab lemezzel,
AUSTROTHERM AT-N100 expandált polisztirolhab hőszigetelő lemez, 1000x500x50 mm
AUSTROTHERM AT-N100 expandált polisztirolhab hőszigetelő lemez, 1000x500x100 mm</t>
  </si>
  <si>
    <t>48-007-41.1.1.1.2-0093532</t>
  </si>
  <si>
    <t>Aljzatkészítés, hideg és melegburkolatok készítése</t>
  </si>
  <si>
    <t>Ácsmunka</t>
  </si>
  <si>
    <t>Szárazépítés</t>
  </si>
  <si>
    <t>Kőműves munkák</t>
  </si>
  <si>
    <t>Belső nyílászárók elhelyezése</t>
  </si>
  <si>
    <t>45-001-3.1-013475</t>
  </si>
  <si>
    <t>Bejáratok, nyílászárók védelme, hidraulikus ajtóbehúzó ajtóra vagy ajtótokra szerelve, beltéri kivitelben,
GEZE TS 2000NV ajtócsukó test, EN2-4 (állítható végállás és csukási sebesség), normál karral, 80kg-ig, maximális ajtószárny szélesség: 1100 mm, felület: ezüst, burkolat színe választható: ezüst</t>
  </si>
  <si>
    <t>72-012-11.7.1.1-0125503</t>
  </si>
  <si>
    <t>Felirati rendszerek elhelyezése</t>
  </si>
  <si>
    <t>Felületképzés</t>
  </si>
  <si>
    <t>Bejáratok, nyílászárók védelme, mechanikus, ajtóba/kapuba szerelhető zártest szerelése,
KABA Elzett X-11 kétoldalas hengerzárbetét, matt nikkel, méret: 35/55mm, MABISZ 4 minősítés, védett profil, edzett acél ház, fúrásbiztos, főkulcsos rendszerben</t>
  </si>
  <si>
    <t>71-001-1.1.1.1.1-0110116</t>
  </si>
  <si>
    <t>Merev, simafalú műanyag védőcső elhelyezése, elágazó dobozokkal, falon kívül, előre elkészített tartó szerkezetre szerelve, vastag, simafalú kivitelben, nehéz mechanikai igénybevételre, Névleges méret: 9-16 mm,
HYDRO-THERM beltéri Mü I. vastagfalú, merev műanyag szürke védőcső 16 mm</t>
  </si>
  <si>
    <t>Merev, simafalú műanyag védőcső elhelyezése, elágazó dobozokkal, előre elkészített falhoronyba, vékonyfalú kivitelben, könnyű mechanikai igénybevételre, Névleges méret: 11-16 mm,
HYDRO-THERM beltéri Mü III. vékonyfalú, hajlítható merev műanyag szürke védőcső 16 mm</t>
  </si>
  <si>
    <t>71-001-1.2.2.1-0110016</t>
  </si>
  <si>
    <t>Merev, simafalú műanyag védőcső elhelyezése, elágazó dobozokkal, falon kívül, előre elkészített tartó szerkezetre szerelve, vastag, simafalú kivitelben, nehéz mechanikai igénybevételre, Névleges méret: 36-48 mm,
HYDRO-THERM beltéri Mü I. vastagfalú, merev műanyag szürke védőcső 36 mm</t>
  </si>
  <si>
    <t>71-001-1.2.2.3-0110036</t>
  </si>
  <si>
    <t>Merev, simafalú műanyag védőcső elhelyezése, elágazó dobozokkal, könnyűszerkezetes (szerelt) falszerkezetbe, Névleges méret: 11-16 mm,
HYDRO-THERM beltéri Mü III. vékonyfalú, hajlítható merev műanyag szürke védőcső 16 mm</t>
  </si>
  <si>
    <t>71-001-1.3.1-0110116</t>
  </si>
  <si>
    <t>Elágazó doboz illetve szerelvénydoboz elhelyezése, süllyesztve, fészekvésés nélkül, Névleges méret: 70, 80, 100, 150, 200 mm 87, 107, 159, 240, 238 mm (70 - 300 mm),
HYDRO-THERM beltéri süllyeszthető műanyag doboz, MÜDS 100 fedéllel, fehér</t>
  </si>
  <si>
    <t>71-001-11.1.2-0121101</t>
  </si>
  <si>
    <t>Elágazó doboz illetve szerelvénydoboz elhelyezése, falon kívül, bármely méretben IP 66 védettségig,
HYDRO-THERM beltéri sima elágazó doboz, nehéz kivitel, Müdn 100 mm</t>
  </si>
  <si>
    <t>71-001-11.2.1-0121202</t>
  </si>
  <si>
    <t>Elágazó doboz illetve szerelvénydoboz elhelyezése, süllyesztve, fészekvésés nélkül, Névleges méret: Ø68 mm-ig, 2xØ68 mm-ig vagy négyzetes kivitelben, 30-60 mm mélységig, max. négyes sorolásig,
KAISER szerelvénydoboz téglafalba, ömlesztett kiszerelés</t>
  </si>
  <si>
    <t>71-001-11.1.1-0123021</t>
  </si>
  <si>
    <t>Gipszkarton szerelvénydoboz beépítése,üregfúrás nélkül,(szerelvénydoboz, mélyített szerelvény és kötődoboz, (fedéllel)kettős szerelvénydoboz fedéllel), elágazó doboz, Névleges méret: Ø68x47 mm, 2xØ68x47 mm, Ø68x61 mm, Ø73x45 mm, max. négyes sorolásig,
KAISER szerelvénydoboz üreges falba, ömlesztett kiszerelés, D68 mm</t>
  </si>
  <si>
    <t>71-001-12.1-0123042</t>
  </si>
  <si>
    <t>Kábelszerű vezeték elhelyezése előre elkészített tartószerkezetre, 1-12 erű rézvezetővel, elágazó dobozokkal és kötésekkel, szigetelési elenállás méréssel, a szerelvényekhez csatlakozó vezetékvégek bekötése nélkül, keresztmetszet: 0,5-2,5 mm²,
PannonCom-Kábel NYM 300/500V 3x1,5 mm², tömör rézvezetővel (MBCu)</t>
  </si>
  <si>
    <t>71-002-21.1-0221521</t>
  </si>
  <si>
    <t>PannonCom-Kábel NYM 300/500V 3x2,5 mm², tömör rézvezetővel (MBCu)</t>
  </si>
  <si>
    <t>71-002-21.1-0221522</t>
  </si>
  <si>
    <t>PannonCom-Kábel NYM 300/500V 5x2,5 mm², tömör rézvezetővel (MBCu)</t>
  </si>
  <si>
    <t>71-002-21.1-0221562</t>
  </si>
  <si>
    <t>Kábelszerű vezeték elhelyezése előre elkészített tartószerkezetre, 1-12 erű rézvezetővel, elágazó dobozokkal és kötésekkel, szigetelési elenállás méréssel, a szerelvényekhez csatlakozó vezetékvégek bekötése nélkül, keresztmetszet: 4 mm²,
PannonCom-Kábel NYM 300/500V 3x4 mm², tömör rézvezetővel (MBCu)</t>
  </si>
  <si>
    <t>71-002-21.2-0221524</t>
  </si>
  <si>
    <t>Kábelszerű vezeték elhelyezése előre elkészített tartószerkezetre, 1-12 erű rézvezetővel, elágazó dobozokkal és kötésekkel, szigetelési elenállás méréssel, a szerelvényekhez csatlakozó vezetékvégek bekötése nélkül, keresztmetszet: 6 mm²,
PannonCom-Kábel NYM 300/500V 3x6 mm², tömör rézvezetővel (MBCu)</t>
  </si>
  <si>
    <t>71-002-21.3-0221526</t>
  </si>
  <si>
    <t>Szigetelt vezeték elhelyezése védőcsőbe húzva vagy vezetékcsatornába fektetve, rézvezetővel, leágazó kötésekkel, szigetelés ellenállás méréssel, a szerelvényekhez csatlakozó vezetékvégek bekötése nélkül, keresztmetszet: 4-6 mm²,
PannonCom-Kábel H07V-U 450/750V 1x6 mm², tömör rézvezetővel (MCu)</t>
  </si>
  <si>
    <t>71-002-1.2-0210006</t>
  </si>
  <si>
    <t>Összeépíthető világítási  és telekommunikációs szerelvények elemei; Kapcsoló/nyomó betét elhelyezése(műanyag borítóelemek nélkül) egypólusú,
Siemens DELTA 1P kapcsoló betét</t>
  </si>
  <si>
    <t>71-005-2.51.1-0640001</t>
  </si>
  <si>
    <t>Összeépíthető világítási  és telekommunikációs szerelvények elemei; Csatlakozóaljzat (dugaszolóaljzat) elhelyezése, földelt, egyes,
Siemens DELTA I-SYSTEM 2P+F dugalj csapófedeles, titánfehér</t>
  </si>
  <si>
    <t>71-005-2.63.1.1-0640036</t>
  </si>
  <si>
    <t>Összeépíthető világítási  és telekommunikációs szerelvények elemei; Nyomólap elhelyezése, egypólusú,
Siemens DELTA I-SYSTEM 1-es billentyű vill, titánfehér</t>
  </si>
  <si>
    <t>71-005-2.71.1-0640041</t>
  </si>
  <si>
    <t>Összeépíthető világítási  és telekommunikációs szerelvények elemei; Keret elhelyezése, egyes keret, függőleges,
Siemens DELTA line 1-es keret, titánfehér</t>
  </si>
  <si>
    <t>71-005-2.98.1.2-0640059</t>
  </si>
  <si>
    <t>Összeépíthető világítási  és telekommunikációs szerelvények elemei; Keret elhelyezése, kettes keret, vízszintes,
Siemens DELTA line 2-es keret, titánfehér</t>
  </si>
  <si>
    <t>71-005-2.98.2.1-0640060</t>
  </si>
  <si>
    <t>Összeépíthető világítási  és telekommunikációs szerelvények elemei; Kiegészítők elhelyezése,
Siemens DELTA LED lámpa 230V/50Hz, narancs</t>
  </si>
  <si>
    <t>71-005-2.99-0640027</t>
  </si>
  <si>
    <t>Egyéb kézi működtetésű terheléskapcsoló elhelyezése, műanyag tokozással, 63 A-ig, 1 pólusú,
GANZ KK KKM0-20-0477-N 1 pólusú, 0-START állású, visszaálló vezérlő (be)</t>
  </si>
  <si>
    <t>71-007-11.2.1.1-0313504</t>
  </si>
  <si>
    <t>Egyéb kézi működtetésű terheléskapcsoló elhelyezése, műanyag tokozással, 63 A-ig, 3 pólusú,
GANZ KK KKM0-20-6002 3 pólusú, 0-1 állású be-ki kapcsoló</t>
  </si>
  <si>
    <t>71-007-11.2.1.3-0313631</t>
  </si>
  <si>
    <t>GANZ KK KKM1-32-6002 3 pólusú, 0-1 állású be-ki kapcsoló</t>
  </si>
  <si>
    <t>71-007-11.2.1.3-0313721</t>
  </si>
  <si>
    <t>Kismegszakítók és kiegészítők elhelyezése kalapsínes szerelőlapra,"B", "C" és "D" jelleggörbével, 6 kA zárlati szilárdsággal, 1 pólusú,
Schneider Electric Acti9 iC60N 1P 10A C kismegszakító</t>
  </si>
  <si>
    <t>71-008-9.3.1-0623236</t>
  </si>
  <si>
    <t>Schneider Electric Acti9 iC60N 1P 16A C kismegszakító</t>
  </si>
  <si>
    <t>71-008-9.3.1-0623237</t>
  </si>
  <si>
    <t>Kismegszakítók és kiegészítők elhelyezése kalapsínes szerelőlapra,"B", "C" és "D" jelleggörbével, 6 kA zárlati szilárdsággal, 3 pólusú,
Schneider Electric Acti9 iC60N 3P 20A C kismegszakító</t>
  </si>
  <si>
    <t>71-008-9.3.3-0623198</t>
  </si>
  <si>
    <t>Schneider Electric Acti9 iC60N 3P 32A C kismegszakító</t>
  </si>
  <si>
    <t>71-008-9.3.3-0623200</t>
  </si>
  <si>
    <t>Áram-védőkapcsolók elhelyezése, váltakozó- és pulzáló egyenáramú kioldásra, gyorskioldással (6...40 ms), 6 kA zárlati szilárdsággal, 4 pólusú,
Schneider Electric Acti9 iID K 4P 25A 30mA AC típusú áram-védőkapcsoló</t>
  </si>
  <si>
    <t>71-008-11.1.1.2-0623560</t>
  </si>
  <si>
    <t>Áram-védőkapcsolók elhelyezése, váltakozó- és pulzáló egyenáramú kioldásra, gyorskioldással (6...40 ms), 6 kA zárlati szilárdsággal, 4 pólusú,
Schneider Electric Acti9 iID K 4P 40A 30mA AC típusú áram-védőkapcsoló</t>
  </si>
  <si>
    <t>71-008-11.1.1.2-0623561</t>
  </si>
  <si>
    <t>Áramköri kiselosztók falon kívüli elhelyezéssel, kalapsínes szerelőlappal, N- és PE sínnel, max. 63A-ig, IP 30/IP 40 védettséggel, (kismegszakítók, védőkapcsolók, távkapcsolók stb. számára) üresen, kiselosztók 36-39 egység,
Schneider Electric Mini Pragma 3 sor 12 modul falon kívüli átlátszó ajtóval PEN sínnel fehér, komplett</t>
  </si>
  <si>
    <t>71-009-1.1.3-0122615</t>
  </si>
  <si>
    <t>Áramköri kiselosztók falba süllyesztett kivitelben, kalapsínes szerelőlappal,N- és PE sínnel, max. 63A-ig, IP 30, IP 40 védettséggel(kismegszakítók, védőkapcsolók, távkapcsolók stb. számára), üresen, kiselosztók 12-18 egység között,
Schneider Electric Mini Pragma 2 sor 12 modul süllyesztett átlátszó ajtóval PEN sínnel fehér, komplett</t>
  </si>
  <si>
    <t>71-009-1.2.2-0122616</t>
  </si>
  <si>
    <t>Merev, simafalú műanyag védőcső elhelyezése, elágazó dobozokkal, előre elkészített falhoronyba, vékonyfalú kivitelben, könnyű mechanikai igénybevételre, Névleges méret: 36-48 mm,
HYDRO-THERM beltéri Mü III. vékonyfalú, hajlítható merev műanyag szürke védőcső 36 mm</t>
  </si>
  <si>
    <t>71-001-1.1.1.1.3-0110136</t>
  </si>
  <si>
    <t>PannonCom-Kábel NYM 300/500V 5x6 mm², tömör rézvezetővel (MBCu)</t>
  </si>
  <si>
    <t>71-002-21.3-0221566</t>
  </si>
  <si>
    <t>71-010-2.7-0143229</t>
  </si>
  <si>
    <t>Felületre szerelt lámpatest elhelyezése előre elkészített tartószerkezetre, zárt, LED-es kivitelben,
ELMARK Led Panel Square OM, 18W/1440lm, mennyezeti LED-es lámpatest, semlegesfehér (4000K), 225x225mm</t>
  </si>
  <si>
    <t>Álmennyezeti lámpatest elhelyezése előre elkészített tartószerkezetre, burával vagy üveglappal lezárt, LED-es,
ELMARK Led Panel Round 18W/1440lm álmennyezeti LED-es lámpatest, semlegesfehér (4000K), átm: 225mm</t>
  </si>
  <si>
    <t>71-010-4.5-0143219</t>
  </si>
  <si>
    <t>Álmennyezeti lámpatest elhelyezése előre elkészített tartószerkezetre, burával vagy üveglappal lezárt, LED-es,
ELMARK Led Panel Round 9W/720lm álmennyezeti LED-es lámpatest, semlegesfehér (4000K), átm: 145mm</t>
  </si>
  <si>
    <t>71-010-4.5-0143226</t>
  </si>
  <si>
    <t>Álmennyezeti lámpatest elhelyezése előre elkészített tartószerkezetre, burával vagy üveglappal lezárt, LED-es,
ELMARK Led Panel Round 12W/960lm álmennyezeti LED-es lámpatest, semlegesfehér (4000K), átm: 145mm</t>
  </si>
  <si>
    <t>71-010-4.5-0143239</t>
  </si>
  <si>
    <t>Érintésvédelmi hálózat tartozékainak szerelése, épületgépészeti csőhálózat földelő kötése,
OBO földelő bilincs, 1", csatlakoztatható vezetékkeresztmetszet 1x35 mm²</t>
  </si>
  <si>
    <t>71-013-7.3-0310389</t>
  </si>
  <si>
    <t>Érintésvédelmi hálózat tartozékainak szerelése, nagykiterjedésű fémtárgy földelő kötése</t>
  </si>
  <si>
    <t>71-013-7.4</t>
  </si>
  <si>
    <t>Villám és érintésvédelmi mérés és jegyzőkönyv készítése</t>
  </si>
  <si>
    <t>71-013-9</t>
  </si>
  <si>
    <t>mp</t>
  </si>
  <si>
    <t>71-010-16.6-0146068</t>
  </si>
  <si>
    <t>Falilámpák elhelyezése beltérre, LED-es kivitelben,
ELMARK LED Panel Round Waterproof 18W/1440lm fali/mennyezeti LED-es lámpatest, semlegesfehér (4000K), átm: 225mm</t>
  </si>
  <si>
    <t>(Akkumulátoros vészvilágítás) 
Tartalék világítási lámpatestek elhelyezése, saját akkumulátoros, készenléti üzemű, falon kívüli kivitelben, írányfény,
ELMARK Emergency Exit LED-es készenléti üzemű, függeszthető, élvilágító irányfény lámpatest piktogrammal, 2 óra, IP30</t>
  </si>
  <si>
    <t>71-010-12.11.2,1,4-0142821</t>
  </si>
  <si>
    <t>Audió kaputelefon szettek elhelyezése falra vagy kapura szerelve vagy süllyesztve, vésési munkák nélkül, huzalozással, bekötéssel, üzempróbával, 1 lakásos szett,
MASCO FARFISA kaputelefon szett, 4+N vezetékes, Project-Up széria süllyesztett kültérivel, ISO 9002, 1 lakásos</t>
  </si>
  <si>
    <t>72-001-21.1-0217013</t>
  </si>
  <si>
    <t>Műanyag szigetelésű távközlési kábel alufólia árnyékolással, belső terekbe, fektetése kézi erővel,  védőcsőbe húzva vagy vezetékcsatornába fektetve, keresztmetszet: 0,6-0,8 mm² tömeghatár: 0,35 kg/m-ig,
PannonCom-Kábel J-Y(St)Y 300V 4x2x0,8 mm² távközlési kábel, alufólia árnyékolással</t>
  </si>
  <si>
    <t>71-002-45.1-0331160</t>
  </si>
  <si>
    <t>Horonyvésés, téglafalban, 8,01-16,00 cm² keresztmetszet között</t>
  </si>
  <si>
    <t>33-063-3.2.2</t>
  </si>
  <si>
    <t>Horonyvésés, téglafalban, 24,01-50,00 cm² keresztmetszet között</t>
  </si>
  <si>
    <t>33-063-3.2.4</t>
  </si>
  <si>
    <t>Vakolatok pótlása, keskenyvakolatok pótlása oldalfalon, 10 cm szélességig
Baumit UniPutz (Uni vakolat)</t>
  </si>
  <si>
    <t>36-090-2.1.1</t>
  </si>
  <si>
    <t>Vakolatok pótlása, keskenyvakolatok pótlása oldalfalon, 11-20 cm szélesség között
Baumit UniPutz (Uni vakolat)</t>
  </si>
  <si>
    <t>36-090-2.1.2</t>
  </si>
  <si>
    <t>Beltéri információs rendszer elhelyezése, változó szélességben és sorkiosztásban, eloxált alumíniumból, ajtó felirati tábla fejléc, két sor információs lehetőséggel,
INDUCT TRADE T02-a3 beltéri ajtó felirati tábla 320x218mm beltéri moduláris panelrendszerű alumínium tájékoztató fali tábla, klipszekkel felszerelhető egyenes panelekkel, helyiség felirat névvel</t>
  </si>
  <si>
    <t>Beltéri információs rendszer elhelyezése, változó szélességben és sorkiosztásban, eloxált alumíniumból, ajtó felirati tábla fejléc, három sor információs lehetőséggel,
INDUCT TRADE T02-a2 beltéri ajtó felirati tábla 320x280mm beltéri moduláris panelrendszerű alumínium tájékoztató fali tábla, klipszekkel felszerelhető egyenes panelekkel, helyiség felirat névvel</t>
  </si>
  <si>
    <t>Beltéri információs rendszer elhelyezése, változó szélességben és sorkiosztásban, eloxált alumíniumból, piktogram műanyag betéttel,
INDUCT TRADE T04-1-5 beltéri ajtó felirati tábla 124x217mm beltéri moduláris panelrendszerű alumínium tájékoztató fali tábla, klipszekkel felszerelhető egyenes panelekkel, helyiség felirat névvel</t>
  </si>
  <si>
    <t>45-011-1.1.3.10185013</t>
  </si>
  <si>
    <t>Beltéri információs rendszer elhelyezése, változó szélességben és sorkiosztásban, eloxált alumíniumból, szintjelző, eligazító tábla egysoros kivitelben,
INDUCT TRADE T01-a beltéri moduláris panelrendszerű alumínium tájékoztató függesztett tábla, klipszekkel felszerelhető egyenes panelekkel alumínium profil, egyenes végzáró profilokkal</t>
  </si>
  <si>
    <t>Beltéri információs rendszer elhelyezése, változó szélességben és sorkiosztásban, eloxált alumíniumból, szintjelző, eligazító tábla egysoros kivitelben,
INDUCT TRADE Braille információs tábla tapintható térképpel 100X70cm</t>
  </si>
  <si>
    <t>Elektromos energiaellátás, villanyszerelés</t>
  </si>
  <si>
    <t>Épületautomatika, -felügyelet (gyengeáram)</t>
  </si>
  <si>
    <t>45-011-11.1.1.1-0185021</t>
  </si>
  <si>
    <t>Kültéri információs rendszer elhelyezése csőoszlopra, betonalap és földmunka nélkül, változó szélességben és sorkiosztásban, nyers alumíniumból, infópanel háromsoros kivitelben,
INDUCT TRADE T12-a csőprofilokból és panelokból álló alu modulrendszer, kültéri igénybevételeknek megfelelő kialakítás, irányjelző tábla kültérben</t>
  </si>
  <si>
    <t>35-005-1.1.3-0211003</t>
  </si>
  <si>
    <t>Ereszalj felületének helyreállítása, szintkiegyenlítése,
BRAMAC tetőléc 2-6,5 m hosszú 30/32x48/50 mm</t>
  </si>
  <si>
    <t>35-003-1.6-0410051</t>
  </si>
  <si>
    <t>Vízálló, gipszrostlap elhelyezése vágott (nútolatlan) kivitelben, mennyezeten,
RIGIPS Rigidur H 12,5mm vtg gipszrost lemez, 2000x1250x10 mm méretű</t>
  </si>
  <si>
    <t>36-051-6.2.3-0192509</t>
  </si>
  <si>
    <t>48-010-1.1.2.2-0113589</t>
  </si>
  <si>
    <t>48-010-1.6.2.2-0092697</t>
  </si>
  <si>
    <t>48-010-1.6.2.4-0092697</t>
  </si>
  <si>
    <t>48-010-1.6.2.2-0092690</t>
  </si>
  <si>
    <t>Hegesztett betonacél háló szerelése tartószerkezetbe,
FERALPI 4K1010 építési síkháló; 2,00 x 1,00 m; 50 x 50 mm osztással Ø 4,00 / 4,00 BHB55.50</t>
  </si>
  <si>
    <t>Talajnedvesség elleni szigetelés; Bitumenes lemez szigetelés aljzatának kellősítése, egy rétegben, függőleges felületen, oldószeres hideg bitumenmázzal (száraz felületen),
ICOPAL SIPLAST PRIMER® Speed SBS oldószeres bitumenes alapozó</t>
  </si>
  <si>
    <t>48-002-1.1.1.2.1-0099073</t>
  </si>
  <si>
    <t>Talajnedvesség elleni szigetelés; Falszigetelés, függőleges felületen, egy rétegben, minimum 3,0 mm vastag elasztomerbitumenes (SBS modifikált vagy SBS/oxidált duo) lemezzel, aljzathoz teljes felületű lángolvasztásos ragasztással, átlapolásoknál teljes felületű hegesztéssel fektetve,
VILLAS E-PV 4 F/K Extra, poliészterfátyol hordozórétegű, 4 mm vastagságú, elasztomerbitumenes (SBS modifikált) lemez</t>
  </si>
  <si>
    <t>48-002-1.2.2.1.2-0099010</t>
  </si>
  <si>
    <t>Kiegészítő profil elhelyezése különböző magasságú padlóburkolatok lépcső nélküli összekötésére, élvédelemre, rézből, alumíniumból, eloxált alumíniumból, nemesacélból,
Schlüter-RENO-ATK 2,5m, burkolatváltó profil H=8mm, natúr alu</t>
  </si>
  <si>
    <t>42-071-2-0150311</t>
  </si>
  <si>
    <t>Szigetelések rögzítése; Hőszigetelő táblák pontszerű mechanikai rögzítése, alulról hűlő födém alsó felületén, beton aljzatszerkezethez, fém beütődübelekkel,
FISCHER DHM 150 fém szigetelésrögzítő szeg nélkül, FISCHER DTM 80 fém szigetelő tányér, FISCHER DHM ADK-W fehér fedősapka</t>
  </si>
  <si>
    <t>32-002-1.1.1-0119901</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</si>
  <si>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 kiegészítő hőszigetelés elhelyezése nélkül, 0,10 t/db tömegig, égetett agyag-kerámia köpenyes nyílásáthidaló,
POROTHERM elemmagas nyílásáthidaló, 1,00 m</t>
  </si>
  <si>
    <t>33-000-31.1.1</t>
  </si>
  <si>
    <t>Nyílásbontás, égetett-agyag kerámia teherhordó, tömör téglafalban</t>
  </si>
  <si>
    <t>Ajtónyílás kialakítása 2 mm vtg. UA 50 bordával, ajtótok beállítás nélkül.
Belmagasság: 3,50M</t>
  </si>
  <si>
    <t>Kiemelt szegély készítése, alapárok kiemelésével, beton alapgerendával és megtámasztással, hézagolással, előregyártott szegélykőből vagy cölöpökből, 100 cm hosszú elemekből,
LEIER Quartz kiemelt útszegélykő, szürke, 100x15/12x30 cm,
C12/15 - XN(H) földnedves kavicsbeton keverék CEM 32,5 pc. Dmax = 16 mm, m = 6,3 finomsági modulussal</t>
  </si>
  <si>
    <t>62-002-1.4.2-0613244</t>
  </si>
  <si>
    <t>Térburkolathoz fagyálló, teherhordó alap készítése, 20 cm vastagságban,
Nyers homokos kavics, NHK 0/125 Q-T, Délegyháza</t>
  </si>
  <si>
    <t>62-003-6-0120125</t>
  </si>
  <si>
    <t>Humuszos termőréteg, termőföld leszedése, terítése gépi erővel, 18%-os terephajlásig, bármilyen talajban, szállítással, 50,0 m-ig</t>
  </si>
  <si>
    <t>21-002-1.1</t>
  </si>
  <si>
    <t>Munkaárok földkiemelése közművesített területen, kézi erővel, bármely konzisztenciájú talajban, dúcolás nélkül, 2,0 m² szelvényig,
IV. talajosztály</t>
  </si>
  <si>
    <t>21-003-5.1.1.3</t>
  </si>
  <si>
    <t>Bejárat kialakítása</t>
  </si>
  <si>
    <t>L-02 jelű</t>
  </si>
  <si>
    <t>47-000-7.3.2-0150112</t>
  </si>
  <si>
    <t>47-031-1.3.1.2-0130751</t>
  </si>
  <si>
    <t>47-031-1.5.1.2-0130361</t>
  </si>
  <si>
    <t>GEZE TS 5000S ajtócsukó test, EN2-6, előlröl állítható csukáskésleltetővel 30 mp-ig, csúszósínes karral, 80kg-ig, maximális ajtószárny szélesség: 1400 mm, felület: ezüst, burkolat színe választható: RAL9016 Verkehrsweiss</t>
  </si>
  <si>
    <t>Vékonyvakolat alapozók felhordása, kézi erővel, tapaszolt felületre,
JUB Jubizol Unigrund alapozó</t>
  </si>
  <si>
    <t>Vékonyvakolatok, színvakolatok felhordása alapozott, előkészített felületre, vödrös kiszerelésű anyagból, szilikon vékonyvakolat készítése, egy rétegben, 1,5-2,5 mm-es szemcsemérettel,
JUB Jubizol Silicone Finish S vakolat, kapart 1,5 mm, fehér</t>
  </si>
  <si>
    <t>Vékonyvakolatok, színvakolatok felhordása alapozott, előkészített felületre, vödrös kiszerelésű anyagból, szilikon vékonyvakolat készítése, egy rétegben, 1,5-2,5 mm-es szemcsemérettel,
JUB Jubizol Silicone Finish S vakolat, kapart 1,5 mm, 530C</t>
  </si>
  <si>
    <t>Lábazati vakolatok; díszítő és lábazati műgyantás kötőanyagú vakolatréteg felhordása, kézi erővel, vödrös kiszerelésű anyagból,
JUB Kulirolast 1.8 prémium vakolat 1,8 mm-es szemcseméret, 660</t>
  </si>
  <si>
    <t>Kültéri vakolóprofilok elhelyezése, utólagos (táblás) hőszigetelő rendszerhez (EPS), polisztirol,PVC,alumínium,rozsdam.acél,horg.acél, üvegszövet, 30 - 160 mm hőszigeteléshez, pozitív sarkokra,
JUB Jubizol hálós sarokelem, pvc élvédő 10+15 cm üvegszövet hálóval</t>
  </si>
  <si>
    <t>Kültéri vakolóprofilok elhelyezése, utólagos (táblás) hőszigetelő rendszerhez (EPS), PVC-ből, kemény PVC-ből, 6 - 9 mm hőszigeteléshez, kávacsatlakozó profil nyílászárókhoz,
JUB Jubizol spalettaprofil, öntapadó szalaggal</t>
  </si>
  <si>
    <t>Kültéri vakolóprofilok elhelyezése, utólagos (táblás) hőszigetelő rendszerhez (EPS), rozsdamentes acélból, alumíniumból, PVC-ből, 6 mm vakolat vastagsághoz, vízcseppentő profilok, vízszintes élekhez,
JUB Jubizol vízelvezető profil</t>
  </si>
  <si>
    <t>Kültéri vakolóprofilok elhelyezése, utólagos (táblás) hőszigetelő rendszerhez (EPS), rozsdamentes acélból, alumíniumból, 30 - 160 mm hőszigeteléshez, lábazati indító profilok egyenes falakhoz,
JUB Jubizol alu alapléc, kültéri lábazati indító profil egyenes falhoz 160 mm utólagos hőszigeteléshez, alumínium</t>
  </si>
  <si>
    <t>Homlokzati hőszigetelés, üvegszövetháló-erősítéssel,(mechanikai rögzítés, felületi zárás valamint kiegészítő profilok külön tételben szerepelnek), egyenes él-képzésű, normál homlokzati EPS hőszigetelő lapokkal, ragasztóporból képzett ragasztóba, tagolt sík, függőleges falon,
JUB Jubizol EPS F-W0 homlokzati hőszigetelő lemez,1000x500x160 mm</t>
  </si>
  <si>
    <t>Homlokzati hőszigetelés, üvegszövetháló-erősítéssel,(mechanikai rögzítés, felületi zárás valamint kiegészítő profilok külön tételben szerepelnek), egyenes él-képzésű, normál homlokzati EPS hőszigetelő lapokkal, ragasztóporból képzett ragasztóba, tagolt sík, függőleges falon,
JUB Jubizol EPS F Graphite-G0 expandált polisztirol keményhab hőszigetelő lemez, 1000x500x100 mm</t>
  </si>
  <si>
    <t>Homlokzati hőszigetelés, üvegszövetháló-erősítéssel,(mechanikai rögzítés, felületi zárás valamint kiegészítő profilok külön tételben szerepelnek), egyenes és lépcsős él-képzésű, formázott homlokzati EPS hőszigetelő lapokkal, ragasztóporból képzett ragasztóba, tagolt sík, függőleges falon,
JUB Jubizol EPS F Strong-S0 formahabosított hőszigetelő lemez, 1000x500x100 mm</t>
  </si>
  <si>
    <t>Homlokzati hőszigetelés, üvegszövetháló-erősítéssel,(mechanikai rögzítés, felületi zárás valamint kiegészítő profilok külön tételben szerepelnek), normál homlokzati kőzetgyapot hőszigetelő lapokkal, ragasztóporból képzett ragasztóba, tagolt sík, függőleges falon,
KNAUF INSULATION Nobasil FKD RS vakolható kőzetgyapot lemez 20 mm</t>
  </si>
  <si>
    <t>KNAUF INSULATION Nobasil FKD RS vakolható kőzetgyapot lemez 40 mm</t>
  </si>
  <si>
    <t>KNAUF INSULATION Nobasil FKD S Thermal vakolható kőzetgyapot lemez 100 mm</t>
  </si>
  <si>
    <t>KNAUF INSULATION Nobasil FKD S Thermal vakolható kőzetgyapot lemez 160 mm</t>
  </si>
  <si>
    <t>Homlokzati hőszigetelés, üvegszövetháló-erősítéssel,(mechanikai rögzítés, felületi zárás valamint kiegészítő profilok külön tételben szerepelnek), normál homlokzati kőzetgyapot hőszigetelő lapokkal, ragasztóporból képzett ragasztóba, íves, függőleges falon,
KNAUF INSULATION Nobasil FKD S Thermal vakolható kőzetgyapot lemez 160 mm</t>
  </si>
  <si>
    <t>Homlokzati hőszigetelés, üvegszövetháló-erősítéssel,(mechanikai rögzítés, felületi zárás valamint kiegészítő profilok külön tételben szerepelnek), normál homlokzati kőzetgyapot hőszigetelő lapokkal, ragasztóporból képzett ragasztóba, sík mennyezeten,
KNAUF INSULATION Nobasil FKD S Thermal vakolható kőzetgyapot lemez 100 mm</t>
  </si>
  <si>
    <t>ÖSSZESÍTŐ - ÉPÍTÉSI MUNKA</t>
  </si>
  <si>
    <t>Munkanem megnevezése</t>
  </si>
  <si>
    <t>Anyag összege</t>
  </si>
  <si>
    <t>Díj összege</t>
  </si>
  <si>
    <t>Összesen</t>
  </si>
  <si>
    <t>FŐÖSSZESÍTŐ</t>
  </si>
  <si>
    <t>Összesen (nettó)</t>
  </si>
  <si>
    <t>Építési munka összesen:</t>
  </si>
  <si>
    <t>Árkockázati fedezet</t>
  </si>
  <si>
    <t>Anyagigazgatási költség</t>
  </si>
  <si>
    <t>Tartalékkeret</t>
  </si>
  <si>
    <t>Járulékok összesen:</t>
  </si>
  <si>
    <t>Megvalósításra szóló építési átalányár</t>
  </si>
  <si>
    <t>áfa</t>
  </si>
  <si>
    <t>Fizetendő (bruttó):</t>
  </si>
  <si>
    <t>vállalási határidő:</t>
  </si>
  <si>
    <t>fizetési feltételek:</t>
  </si>
  <si>
    <t>jótállás:</t>
  </si>
  <si>
    <t>Fedezet</t>
  </si>
  <si>
    <t xml:space="preserve">Kelt: </t>
  </si>
  <si>
    <t>ajánlattevő</t>
  </si>
  <si>
    <t>BÉKÉSSÁMSON KÖZSÉG ÖNKORMÁNYZATA</t>
  </si>
  <si>
    <t>5495 BÉKÉSSÁMSON, HŐSÖK TERE 10-12. - PH ENERGETIKAI FELÚJÍTÁSA</t>
  </si>
  <si>
    <t>Homlokzati nyílászárók cseréje</t>
  </si>
  <si>
    <t>Pincefödém hőszigetelése</t>
  </si>
  <si>
    <t>Padlásfödém hőszigetelése</t>
  </si>
  <si>
    <t>Homlokzat hőszigetelése</t>
  </si>
  <si>
    <t>Padlószerkezet hőszigetelése</t>
  </si>
  <si>
    <t>Akadálymentesítés</t>
  </si>
  <si>
    <t>Fűtési rendszer korszerűsítése</t>
  </si>
  <si>
    <t>HMKE telepítése</t>
  </si>
  <si>
    <t>Napelemes (fotovoltaikus) rendszerelemek telepítése, napelem táblák elhelyezése, rögzítése, elektromos összekötés kialakítása, polikristályos, 255-280 Wp között,
AMERISOLAR 270 Wp polikristályos napelem</t>
  </si>
  <si>
    <t>75-061-11.1.2.1-0121973</t>
  </si>
  <si>
    <t>Napelemes (fotovoltaikus) rendszerelemek telepítése, inverter elhelyezése, rendszerbe kötése, hálózatra szinkronizált inverter, háromfázisú,
GROWATT 12000UE hálózatra visszatápláló napemes inverter</t>
  </si>
  <si>
    <t>75-061-11.11.1.3-0121869</t>
  </si>
  <si>
    <t>Napelemes (fotovoltaikus) rendszerelemek telepítése, kiegészítők (vezérlő, adatgyűjtő, távfelügyeleti, kijelző elemek) elhelyezése,
GROWATT WiFi kommunikációs modul napelemes inverterhez (ip65)</t>
  </si>
  <si>
    <t>75-061-11.21-0121916</t>
  </si>
  <si>
    <t>klt</t>
  </si>
  <si>
    <t>Tartószerkezet készítése falusi környezetben, cserépfedésű nyeregtetőre, photovoltaikus rendszerek telepítéséhez, tartósan korrózióálló tulajdonságú alapanyagból (alumínium vagy rm. acél)
K2-SYSTEMS Crossrail System</t>
  </si>
  <si>
    <t>Kisfeszültségű, 230-500V, CEE típusú egyenes vagy hordozható ipari csatlakozó felszerelése, (gyorscsavaros megoldású szétszerelés), IP 67 védettséggel, 2 pólusú
MC4 napelem csatlakozó</t>
  </si>
  <si>
    <t>pár</t>
  </si>
  <si>
    <t>71-002-21.2-0221564</t>
  </si>
  <si>
    <t>Szigetelt vezeték elhelyezése védőcsőbe húzva vagy vezetékcsatornába fektetve, rézvezetővel, leágazó kötésekkel, szigetelés ellenállás méréssel, a szerelvényekhez csatlakozó vezetékvégek bekötése nélkül, keresztmetszet: 4-6 mm²,
MIXVILL szolárkábel 600/1000V 1x6 mm², ónozott sodrott rézvezetővel
DC oldal</t>
  </si>
  <si>
    <t>Kábelszerű vezeték elhelyezése előre elkészített tartószerkezetre, 1-12 erű rézvezetővel, elágazó dobozokkal és kötésekkel, szigetelési elenállás méréssel, a szerelvényekhez csatlakozó vezetékvégek bekötése nélkül, keresztmetszet: 4 mm²,
PannonCom-Kábel NYM 300/500V 5x4 mm², tömör rézvezetővel (MBCu)
AC oldal</t>
  </si>
  <si>
    <t>Szigetelt vezeték elhelyezése védőcsőbe húzva vagy vezetékcsatornába fektetve, rézvezetővel, leágazó kötésekkel, szigetelés ellenállás méréssel, a szerelvényekhez csatlakozó vezetékvégek bekötése nélkül, keresztmetszet: 10-16 mm²,
PannonCom-Kábel H07V-K 450/750V 1x16 mm², hajlékony rézvezetővel (Mkh)</t>
  </si>
  <si>
    <t>71-002-1.3-0213016</t>
  </si>
  <si>
    <t>Megújuló energiahasznosító berendezések</t>
  </si>
  <si>
    <t>DC/AC oldali túláram és túlfeszültség védelem</t>
  </si>
  <si>
    <t>HKME rendszer tervezése, engedélyeztetése és beüzemelése</t>
  </si>
  <si>
    <t>Ssz.</t>
  </si>
  <si>
    <t>Tételszám</t>
  </si>
  <si>
    <t>Tétel szövege</t>
  </si>
  <si>
    <t>Menny.</t>
  </si>
  <si>
    <t>Egység</t>
  </si>
  <si>
    <t>Anyag egységár</t>
  </si>
  <si>
    <t>Díj egységre</t>
  </si>
  <si>
    <t>Anyag összesen</t>
  </si>
  <si>
    <t>Díj összesen</t>
  </si>
  <si>
    <t>HKME TELEPÍTÉSE</t>
  </si>
  <si>
    <t>AKADÁLYMENTESÍTÉS</t>
  </si>
  <si>
    <t>PADLÁSFÖDÉM HŐSZIGETELÉSE</t>
  </si>
  <si>
    <t>PINCEFÖDÉM HŐSZIGETELÉSE</t>
  </si>
  <si>
    <t>PADLÓSZERKEZET HŐSZIGETELÉSE</t>
  </si>
  <si>
    <t>HOMLOKZATI NYÍLÁSZÁRÓK CSERÉJE</t>
  </si>
  <si>
    <t>HOMLOKZAT HŐSZIGETELÉSE</t>
  </si>
  <si>
    <t>Meglévő szerelvények és csővezetékek bontása és a hulladék elszállítása</t>
  </si>
  <si>
    <t>Viega Prestabo fűtési vezeték, szabadon szerelve, idomokkal, szerelvényekkel, tartó és rögzítő elemekkel, szerelő és rögzítő egységekkel, az iránytöréseket idommal kell megoldani. 
Fűtetlen térben külön tételben kiírt Armaflex hőszigeteléssel.
Ø15x1,0 méretben</t>
  </si>
  <si>
    <t>Ø18x1,2 méretben</t>
  </si>
  <si>
    <t>Ø22x1,2 méretben</t>
  </si>
  <si>
    <t>Ø28x1,2 méretben</t>
  </si>
  <si>
    <t>Ø35x1,5 méretben</t>
  </si>
  <si>
    <t>Ø42x1,5 méretben</t>
  </si>
  <si>
    <t>Fűtési hálózatat hőszigetelése az épület területén, Armaflex szükséges rögzítőszerkezettel, felerősítő kapcsokkal, ragasztóanyaggal, ragasztó szalaggal. 
Armaflex 13 mm vtg.
Ø35 haszoncsőre</t>
  </si>
  <si>
    <t>Ø42 haszoncsőre</t>
  </si>
  <si>
    <t>Vogel &amp; Noot kompakt radiátor, 1/2" oldalsó csatlakozással, szerelési egységcsomaggal, falra, tartó- és rögzítő szerkezettel, felszerelve, festés előtt le-, majd utána visszaszerelve. Radiátort 1/2" helyi légtelenítővel és ürítési lehetőséggel kell ellátni.
22K 600-400 méretben</t>
  </si>
  <si>
    <t>22K 600-520 méretben</t>
  </si>
  <si>
    <t>22K 600-600 méretben</t>
  </si>
  <si>
    <t>22K 600-720 méretben</t>
  </si>
  <si>
    <t>22K 600-800 méretben</t>
  </si>
  <si>
    <t>22K 600-920 méretben</t>
  </si>
  <si>
    <t>22K 600-1000 méretben</t>
  </si>
  <si>
    <t>22K 600-1120 méretben</t>
  </si>
  <si>
    <t>22K 600-1600 méretben</t>
  </si>
  <si>
    <t>Heimeier V-Exakt termosztatikus radiátor szelep, egyenes, 3/8" kivitelben, hollandival, szerelési apróanyaggal, radiátor és csővezeték közé beépítve. Az előbeállítási értékeket a terv alapján szükséges beállítani!</t>
  </si>
  <si>
    <t>Heimeier K jelű termosztátfej, lopásvédelem gyűrűvel, hőmérsékletkorlátozással</t>
  </si>
  <si>
    <t>Heimeier Regutec radiátor visszatérő szelep, egyenes, 3/8" kivitelben, hollandival, szerelési apróanyaggal, radiátor és csővezeték közé beépítve. Az előbeállítási értékeket a terv alapján szükséges beállítani!</t>
  </si>
  <si>
    <t>Faláttörés készítése helyreállítással, 0,03m2/db méretig csővezetékek átvezetéséhez.</t>
  </si>
  <si>
    <t>Meglévő szalma tüzelésű kazán rákötése új fűtési rendszerre.</t>
  </si>
  <si>
    <t>Reflex 800 literes fűtési puffertartály beépítése biokazán és fűtési szekunder oldal közé, tetjén légtelenítővel, analóg hőmérővel, leeresztési lehetőséggel, gyári 100 mm-es hőszigetelő burokkal.</t>
  </si>
  <si>
    <t>Kosaras fűtési vízszűrő (50 mikrométer), hollandikkal, függőleges visszatérő ágba építve
6/4" méretben</t>
  </si>
  <si>
    <t>Grundfos Magna1 25-40  keringető szivattyú fűtési primer rendszerbe beszerelve, 6/4" visszacsapó szeleppel, előtte utána 6/4 " gömbcsappal</t>
  </si>
  <si>
    <t>Grundfos Alpha1 25-60  keringető szivattyú fűtési szekunder rendszerbe beszerelve, 5/4" visszacsapó szeleppel, előtte utána 5/4 " gömbcsappal</t>
  </si>
  <si>
    <t>IMI STAD mérőcsonkos beszabályozó szelep BB-s kivitelben, hollandikkal, csőhálózatba építve, beszabályozással, méréssel, jegyzőkönyvvel
DN15 méretben</t>
  </si>
  <si>
    <t>DN20 méretben</t>
  </si>
  <si>
    <t>DN25 méretben</t>
  </si>
  <si>
    <t>IMI CV316 RGA háromjáratú szabályozó  szelep külső menetes, hollandikkal, TA-MC55/230 mozgató motorral, csőhálózatba építve, kazánházi automatikába bekötve. Kvs=8 m3/h
DN25 méretben</t>
  </si>
  <si>
    <t>IMI CV316 RGA háromjáratú szabályozó  szelep külső menetes, hollandikkal, TA-MC55/230 mozgató motorral, csőhálózatba építve, kazánházi automatikába bekötve. Kvs=16 m3/h
DN32 méretben</t>
  </si>
  <si>
    <t>Fűtési tágulási tartály kazánházban felszerelve, avatatlan zárás ellen védett szeleppel ellátva, nyomásmérővel, légtelenítővel, beüzemelve, helyszínre szállítva, kompletten.
Reflex N500</t>
  </si>
  <si>
    <t>Fűtés-hűtés csőhálózat részére elzáró gömbcsapok, PN 10 nyomásfokozattal, 5-120°C víz közegre, csőhálózatba beépítve, nyomáspróbával.
5/4" méretben</t>
  </si>
  <si>
    <t>6/4" méretben</t>
  </si>
  <si>
    <t>2" méretben</t>
  </si>
  <si>
    <t>A hálózatba helyi légtelenítő elhelyezése, víz közegre, max. 120°C hőmérsékletre, a helyi szerelési adottságoknak (és kívánt műszaki feltételeknek) megfelelő helyen és számban elhelyezve:
Spirotop 1/2", előtte elzáró gömbcsap elhelyezésével.</t>
  </si>
  <si>
    <t>Ürítési pont kialakítása a hálózatokba, tömlővéges gömbcsappal.
1/2" méretben</t>
  </si>
  <si>
    <t>Analóg hőmérők elhelyezése kazánházban előremenő és visszatérő hőmérsékletek helyi leolvasására, hőmérők feliratozása, beépítése, merülőhüvellyel, kompletten</t>
  </si>
  <si>
    <t>Fűtési rendszer feltöltése megfelelő kémhatású, vezetőképességű, és tisztaságú közvetítő közeggel.</t>
  </si>
  <si>
    <t>Csőhálózat többszöri tisztítása, átmosatása, rendszer fertőtlenítése.</t>
  </si>
  <si>
    <t>Csőhálózat nyomáspróbája, majd a rendszer készülékekkel való ismételt nyomáspróbája, üzemi próba.</t>
  </si>
  <si>
    <t>A csőhálózati rendszer ellátása színjelzésekkel, áramlási irányt mutató nyilakkal.</t>
  </si>
  <si>
    <t>Megvalósulási terv elkészítése</t>
  </si>
  <si>
    <r>
      <t>Controflex SensoStar U  SSU60 típusú (6 m</t>
    </r>
    <r>
      <rPr>
        <vertAlign val="superscript"/>
        <sz val="10"/>
        <rFont val="Times New Roman"/>
        <family val="1"/>
        <charset val="238"/>
      </rPr>
      <t>3</t>
    </r>
    <r>
      <rPr>
        <sz val="10"/>
        <rFont val="Times New Roman"/>
        <family val="1"/>
        <charset val="238"/>
      </rPr>
      <t>/h) kompakt ultrahangos hőmennyiségmérő</t>
    </r>
  </si>
  <si>
    <t>FŰTÉSI RENDSZER KORSZERŰSÍTÉSE</t>
  </si>
  <si>
    <t>Általános épületgépészeti szerelés</t>
  </si>
  <si>
    <t>Épületgépészeti csővezeték szerelése</t>
  </si>
  <si>
    <t>Épületgépészeti szerelvények és berendezések szerelése</t>
  </si>
  <si>
    <t>rndsz</t>
  </si>
  <si>
    <t>Viega Pexfit Pro PeX-Al-PeX vízvezeték, padló-, falszerkezetbe ill. szabadon szerelve, idomokkal, szerelvényekkel, tartó és rögzítő elemekkel, falikorongokkal, szerelő és rögzítő egységekkel, az iránytöréseket idommal, ill. csővezető ívekkel kell megoldani. 
Külön tételben kiírt Armaflex hőszigeteléssel,
Ø16x2,0 méretben</t>
  </si>
  <si>
    <t>Vízhálózatat hőszigetelése az épület területén, szükséges rögzítőszerkezettel, felerősítő kapcsokkal, ragasztóanyaggal, ragasztó szalaggal. 
Armaflex 19 mm vtg.
Ø16 haszoncsőre</t>
  </si>
  <si>
    <t>Viega Pexfit Pro csővezetékhez védő gégecső padlóban való vezetéshez
Ø16 haszoncsőre</t>
  </si>
  <si>
    <t>Szenyvíz vezeték épületen belül, aljzatban, falhoronyban, illetve gépészeti aknában vezetve, tokos gumigyűrűs kötésű PVC csőből
NA40</t>
  </si>
  <si>
    <t>NA50</t>
  </si>
  <si>
    <t>NA110</t>
  </si>
  <si>
    <t>Csatorna vezeték épület alatt, alap alatt vezetve, elektrokarmantyús hegesztett idomokkal Geberit PE csőből
NA50</t>
  </si>
  <si>
    <t>HL 510 - padlószifon, habfogó úszóval, kiszáradás vagy leszívás esetén záródó úszó szifonharanggal, 140x140 mm rozsdamentes lefolyóráccsal, NA 40/50 vízszintes kifolyócsonkkal. 
Szigetelő gallérral, a födémben fészekvéséssel.</t>
  </si>
  <si>
    <t>HL 21 fali szifon, kondenzelvezetés számára kazánházban, szennyvízhálózatba kötve DN32-es KA PVC csővel.</t>
  </si>
  <si>
    <t>HL805 tetőkiszellőző, párakivezető készlet
Csatorna hálózathoz csatlakoztatva.</t>
  </si>
  <si>
    <t>Elzáró gömbcsap, b.b. vagy k.b. kivitelben, szerelve, apró anyaggal, bronz, 16 bar kivitel.
3/4" méretben</t>
  </si>
  <si>
    <t>Honeywell FK-06 AA 1 típusú vízszűrő (25 mikronos) kosaras kivitel, tisztítható és kombinált nyomáscsökkentő, külső menet+hollander, PN16, max 80°C, (kvs=6), FK06-1AAM 
1" méretben</t>
  </si>
  <si>
    <t>Hajdu Z80EK-1 típusú zárt rendszerű, villamos fűtésű, 80 literes, fali függőleges forróvíztároló</t>
  </si>
  <si>
    <t>Csatlakozás meglévő hideg és melegvíz rendszerhez.</t>
  </si>
  <si>
    <t>Csatlakozás meglévő szennyvíz rendszerhez.</t>
  </si>
  <si>
    <t>Horonyvésés, helyreállítással.</t>
  </si>
  <si>
    <t>Víz- és csatorna vezeték szakaszos, és hálózati nyomáspróbája vízzel illetve levegővel NA 200-ig</t>
  </si>
  <si>
    <t>Csővezeték fertõtlenítése, NA 32-ig, 48 órás vízvezetéki folyatással</t>
  </si>
  <si>
    <t>Használatba vétel elõtt hatósági vízminta beszerzése</t>
  </si>
  <si>
    <t>Megvalósulási tervdokumentáció készítése</t>
  </si>
  <si>
    <t>Épületgépészeti bontási munkák</t>
  </si>
  <si>
    <t>Hátsókiömlésű WC berendezés, mely áll:
- 1 db GEBERIT Kombifix tartály 
- 1 db GEBERIT Delta működtethető nyomólappal
- 1 db KOLO Nova Pro M33520 WC csésze, falra függeszthető, sekélyöblítésű, hátsó kiömlésű félporcelán WC, tartószerkezettel, csavarokkal, 
kompletten alátét lappal
- 1 db KOLO Nova Pro 60114000 műanyag fedeles acélzsanéros ülőkével
- víz- és csatornahálózatba bekötve, szerelési segédanyaggal.</t>
  </si>
  <si>
    <t>Mosdó berendezés H-M vizre, az alábbi tartozékokkal:
- 2 db 1/2"-3/8" Schell tartalékelzáró sarokszelep
- 1db KOLO Nova Pro M38165 mosdókagyló, falra szerelhető, rögzitőkészlettel, tömítőanyaggal,
- 1 db SCHELL Modus E elektronikus egycsaplyukas mosdó csaptelep, automata króm leeresztővel,
- 1 db bűzelzáró szifon takaróval.
Víz- és csatorna hálózatba bekötve, az összes szerelési segédanyaggal, kompletten.</t>
  </si>
  <si>
    <t>Kiegészítő szerelvények elhelyezése beltéri ajtólapokhoz,
TUPAI Trendy R 2276 körcímkés, rozsdamentes acél kilincsgarnitúra, PZ előkészítéssel</t>
  </si>
  <si>
    <t>Diszperziós festés latex bázisú, fehér vagy gyárilag színezett vízzel hígítható falfestékkel, megfelelően előkészített alapfelületen, vakolaton, két rétegben, tagolt sima felületen,
JUB Jupol Latex Matt - hófehér, nagy kopásállóságú matt latex beltéri falfesték</t>
  </si>
  <si>
    <t>Diszperziós festés latex bázisú, fehér vagy gyárilag színezett vízzel hígítható falfestékkel, megfelelően előkészített alapfelületen, vakolaton, két rétegben, tagolt sima felületen,
JUB Jupol Latex Matt - színes, nagy kopásállóságú matt latex beltéri falfesték</t>
  </si>
  <si>
    <t>Fafelületek mázolásának előkészítő és részmunkái; simító tapaszolás fafelületen, egyszeri és minden további, tagolt felületen,
JUB Jubin Akrilin</t>
  </si>
  <si>
    <t>Belső fafelületek fedőmázolása, műgyantabázisú (alkid) oldószertartalmú alapozóval, tagolt felületen,
JUB Jubin Decor Primer, matt, fehér</t>
  </si>
  <si>
    <t>Belső fafelületek zománclakkozása, műgyantabázisú (alkid) oldószertartalmú zománccal, tagolt felületen,
JUB Jubin Decor Universal magasfényű zománcfesték, fehér</t>
  </si>
  <si>
    <t>Kétoldali falzsaluzás függőleges vagy ferde sík felülettel, fa zsaluzattal, 3 m magasságig</t>
  </si>
  <si>
    <t>15-002-1.1.1</t>
  </si>
  <si>
    <t>Vasbetonfal készítése,  X0v(H), XC1, XC2, XC3 környezeti osztályú, kissé képlékeny vagy képlékeny konzisztenciájú betonból, kézi bedolgozással, vibrátoros tömörítéssel, 13-24 cm vastagság között,
C20/25 - XC1 kissé képlékeny kavicsbeton keverék CEM 32,5 pc. D↓max = 16 mm, m = 6,6 finomsági modulussal</t>
  </si>
  <si>
    <t>31-011-3.1.2-0232110</t>
  </si>
  <si>
    <t>Sík vagy alulbordás vasbeton lemez készítése, 15°-os hajlásszögig, X0v(H), XC1, XC2, XC3 környezeti osztályú, kissé képlékeny vagy képlékeny konzisztenciájú betonból, kézi erővel, vibrátoros tömörítéssel, 12 cm vastagságig,
C20/25 - XC1 kissé képlékeny kavicsbeton keverék CEM 32,5 pc. D↓max = 16 mm, m = 6,6 finomsági modulussal</t>
  </si>
  <si>
    <t>31-021-4.1.1-0232410</t>
  </si>
  <si>
    <t>Acél korlát készítése és elhelyezése 50mm átmérőjű acélcsőből, kettős folytonos fogódzóval, vasbeton mellvédfalhoz rögzített tartókonzolokkal együtt kompletten, RAL7016 Anthrazitgrau festett felülettel</t>
  </si>
  <si>
    <t>L-03 jelű</t>
  </si>
  <si>
    <t>Acél korlát készítése és elhelyezése 50mm átmérőjű acélcsőből, kettős folytonos fogódzóval, vasbeton mellvédfalhoz rögzített tartókonzolokkal és acélcső tartólábakkal együtt kompletten, RAL7016 Anthrazitgrau festett felülettel</t>
  </si>
  <si>
    <t>Fa vagy műanyag nyílászáró szerkezetek bontása, ajtó, ablak vagy kapu, 4,01-6,00 m² között</t>
  </si>
  <si>
    <t>Műanyag kültéri nyílászárók elhelyezése előre kihagyott falnyílásba, hőszigetelt, fokozott légzárású bejárati ajtó, tömítés nélkül (szerelvényezve, finom beállítással), 5,01-10,00 m kerület között,
SCHÜCO Corona 82 SI Classic hatkamrás műanyag nyílászáró, 3mm-es profil főfal vastagsággal, 82mm profilmélységgel, három tömítési síkkal (Uf=1,1W/m2K), több ponton záródó vasalatrendszer (pl. SCHÜCO VarioTec), műanyag gomb-kilinccsel (pl. SCÜCO Variotec), 4:-12-4-12-:4mm hőszigetelő, nyíló szárnyban 4.4.2:-12-4-12-:4.4.2 hőszigetelő biztonsági üvegezéssel (Uw=0,7W/m2K)</t>
  </si>
  <si>
    <t>Műanyag kültéri nyílászárók elhelyezése előre kihagyott falnyílásba, hőszigetelt, fokozott légzárású bejárati ajtó, tömítés nélkül (szerelvényezve, finom beállítással), 10,00 m kerület felett,
SCHÜCO Corona 82 SI Classic hatkamrás műanyag nyílászáró, 3mm-es profil főfal vastagsággal, 82mm profilmélységgel, három tömítési síkkal (Uf=1,1W/m2K), több ponton záródó vasalatrendszer (pl. SCHÜCO VarioTec), műanyag gomb-kilinccsel (pl. SCHÜCO VarioTec), 4:-12-4-12-:4mm hőszigetelő, alsó mezőkben 4.4.2:-12-4-12-:4.4.2 hőszigetelő biztonsági üvegezéssel (Uw=0,7W/m2K)</t>
  </si>
  <si>
    <t>Műanyag kültéri nyílászárók elhelyezése előre kihagyott falnyílásba, hőszigetelt, fokozott légzárású bejárati ajtó, tömítés nélkül (szerelvényezve, finom beállítással), 10,00 m kerület felett,
SCHÜCO Corona 82 SI Classic hatkamrás műanyag nyílászáró, 3mm-es profil főfal vastagsággal, 82mm profilmélységgel, három tömítési síkkal (Uf=1,1W/m2K), több ponton záródó vasalatrendszer (pl. SCHÜCO VarioTec), rm acél gomb-kilinccsel (pl. SCHÜCO FSB Design 1016), 4:-12-4-12-:4mm hőszigetelő, alsó mezőkben 4.4.2:-12-4-12-:4.4.2 hőszigetelő biztonsági üvegezéssel (Uw=0,7W/m2K)</t>
  </si>
  <si>
    <t>M-05 jelű, két vízszintes és két függőleges tokosztóval, felül és oldalt fix, alul nyíló kialakítással
névleges méret = 2250x2950mm,
alul hőhídmegszakított alumínium küszöbbel, három oldalon 50mm széles toktoldóval
elektromos zár ellendarabbal (pl. GEZE IQ eStrike A1000-E)</t>
  </si>
  <si>
    <t>M-07* jelű, aszimmetrikus nyíló kialakítással
névleges méret = (500+1100)x2500mm,
küszöb nélkül, három oldalon 50mm széles toktoldóval, kilincses működtetésű pánikzárral</t>
  </si>
  <si>
    <t>CW fém vázszerkezetre szerelt válaszfal 2 x 2 rtg. normál, 12,5 mm vtg. gipszkarton borítással, hőszigeteléssel, csavarfejek és illesztések glettelve (Q2), egyszeres, CW 50-06 mm vtg. tartóvázzal,
RIGIPS normál építőlemez RB 12,5 mm, ásványi szálas hőszigetelés</t>
  </si>
  <si>
    <t>39-001-3.1.1-0120012</t>
  </si>
  <si>
    <t>31-041-1.2.1-0211231</t>
  </si>
  <si>
    <t>82-009-32-0181189</t>
  </si>
  <si>
    <t>82-009-32-0181195</t>
  </si>
  <si>
    <t>Mozgássérült vízellátási berendezések kiegészítő szerelvényeinek elhelyezése,
KOLO Lehnen Concept felhajtható kapaszkodó, rozsdamentes acél, 850 mm, fényes</t>
  </si>
  <si>
    <t>Mozgássérült vízellátási berendezések kiegészítő szerelvényeinek elhelyezése,
KOLO Lehnen Concept hajlított kapaszkodó, rozsdamentes acél, 600x300mm, fényes</t>
  </si>
  <si>
    <t>Piperetárgyak elhelyezése négy vagy több helyen felerősítve, tükör, elektromos bekötés nélkül,
IKEA Godmorgon tükör világítás nélkül, 60x96 cm, ragasztott rögzítéssel</t>
  </si>
  <si>
    <t>82-016-1.2.3-0110013</t>
  </si>
  <si>
    <t>82-016-2.1-0391514</t>
  </si>
  <si>
    <t>82-016-3.1-0391734</t>
  </si>
  <si>
    <t>82-016-4.1-0391752</t>
  </si>
  <si>
    <t>82-016-3.1-0391702</t>
  </si>
  <si>
    <t>Hulladékgyűjtő elhelyezése falra szerelt kivitelben,
MERIDA Stella 0828 - Fali fedő nélküli hulladékgyűjtő, 24 liter, szálcsiszolt, falra szerelhető, Méretek: 355x430x165 mm</t>
  </si>
  <si>
    <t>82-016-1.1.9-0391451</t>
  </si>
  <si>
    <t>MERIDA Stella DSM501multi habszappan szappanadagoló, szálcsiszolt, 2400 adag, automata (szenzoros, infrás), Méretek: 290x170x100 mm</t>
  </si>
  <si>
    <t>MERIDA Stella HW5 hajtogatott papírtörölköző adagoló, mini, szálcsiszolt, 250 lap, szintjelzővel, rendszerkulccsal zárható, Méretek: 255x155x120 mm</t>
  </si>
  <si>
    <t>Papíradagolók elhelyezése falra szerelt kivitelben,
MERIDA Stella 0030 - Kistekercses WC-papír adagoló, 2 tekercses, szálcsiszolt, rendszerkulccsal zárható, Méretek: 150x300x165 mm</t>
  </si>
  <si>
    <t>Piperetárgyak elhelyezése egy-három helyen felerősítve, ruha- és törölközőakasztó,
MERIDA Stella 7340s - Egyágú akasztó, szálcsiszolt, Méretek: 50x50x40 mm</t>
  </si>
  <si>
    <t>Piperetárgyak elhelyezése egy-három helyen felerősítve, WC-kefe tartóval,
MERIDA Stella WCKFRM - Fali WC-kefe, szálcsiszolt, falra szerelhető kivehető belső tartállyal, Méretek: 100x390x100 mm</t>
  </si>
  <si>
    <t>82-016-1.1.6-0391432</t>
  </si>
  <si>
    <t>82-016-1.2.4.1.1-0391861</t>
  </si>
  <si>
    <t>Piperetárgyak elhelyezése négy vagy több helyen felerősítve, pelenkázó asztal, falra szerelt, lehajtható kivitelben,
INDUCT TRADE AS900 - vízszintes fali babapelenkázó, HDPE, fehér, 30 kg, maximális teherbírás, 40 kg-ig tesztelve, vízszintes lecsapódást gátló légteleszkóp, Méretek: 560x855x170 mm</t>
  </si>
  <si>
    <t>IT 800 SERIES WC vészjelző szett:
- 24h működést biztosító akkumulátoros központi egység,
- húzókapcsoló,
- nyugtázó,
- fény és hangjelző</t>
  </si>
  <si>
    <t>Páraáteresztő, vízzáró alátétfólia, alátétfedés, vagy alátétszigetelés terítése 15 cm-es átfedéssel (ellenléc külön tételben számolandó) ragasztóval vagy ragasztószalaggal folytonosítva,
MASTERPLAST Mastermax 3 Eco páraáteresztő, háromrétegű tetőfólia normál hőterhelésre, 100 g/m2, Sd=0,02m, W1</t>
  </si>
  <si>
    <t>35-002-4.2-0113004</t>
  </si>
  <si>
    <t>Tetőfóliák átfedéseinek vagy csomópontjainak tömítése és/vagy ragasztása tömítő vagy ragasztó szalaggal,
MASTERMAX Tape diffúziós ragasztószalag páraáteresztő tetőfóliák egyoldalas ragasztásához, 50 mm × 25 m</t>
  </si>
  <si>
    <t>Jelölőkő elhelyezése beton burkolatban, 30x30cm
INDUCT TRADE IT-1012J Jelölő beton járdalap, 300x300x60mm, fehér</t>
  </si>
  <si>
    <t>Egyeneskarú lépcső zsaluzása, alátámasztó állvány nélkül, 4,00 m magasságig, a fokok és lépcsőoldalak bezsaluzásával, fa zsaluzattal</t>
  </si>
  <si>
    <t>15-004-51.1</t>
  </si>
  <si>
    <t>Lépcső készítése betonból, X0b(H), X0v(H), XC1, XC2 környezeti osztályú, földnedves vagy kissé képlékeny konzisztenciájú betonból, helyszíni keveréssel és bedolgozással, kézi csömöszöléssel,
C20/25 - XC1 kissé képlékeny kavicsbeton keverék CEM 32,5 pc. D↓max = 16 mm, m = 6,6 finomsági modulussal</t>
  </si>
  <si>
    <t>31-021-10.1.1.1-0232110</t>
  </si>
  <si>
    <t>Kiegészítő profil elhelyezése lépcsőfellépők biztonságos, csúszásmentes kialakításához, kombinált kemény/lágy műanyagból, alumíniumból vagy rozsdamentes acélból készült profil csúszásgátló műanyag betéttel, 2-25 mm vastagsági mérettel,
SCHLÜTER-Trep-S 2,5m, gumibetétes alu lépcső profil H=8mm keskeny, szürke Rendelési szám: G8S</t>
  </si>
  <si>
    <t>42-071-5-0151152</t>
  </si>
  <si>
    <t>Hőszigetelt padlásfeljáró ajtó elhelyezése 4,00x1,20m födémmezőbe illesztett 80x100cm méretben</t>
  </si>
  <si>
    <t>Padlóburkolat készítése, beltérben, tégla, beton, vakolt alapfelületen, gres, kőporcelán lappal, kötésben vagy hálósan, 3-5 mm vtg. ragasztóba rakva, 1-10 mm fugaszélességgel, 20x20 - 40x40 cm közötti lapmérettel,
MAPEI Keraflex Light S1 C2TE S1 cementkötésű ragasztóhabarcs, szürke, Ultracolor Plus fugázóhabarcs, szürke
BOHEMIA GRES TR735076 Nordic (R11) 30x30x0,72cm</t>
  </si>
  <si>
    <t>45-001-1.1.5.1-0134048</t>
  </si>
  <si>
    <t>Beltéri ajtók, alapozott acél ajtótok elhelyezése, befoglalótok szerelésével, Jobbos/Balos falcolt ajtólapokhoz EPDM tömítőprofillal, szerelt falak esetén, beépítés a szerelt falak építésével egyidejűleg, 150 mm falvastagságig, 625x2000-2000x2125 mm névleges méretig,
HÖRMANN gipszkarton befoglalótok, névleges méret:1000 x 2125 mm, 100 mm falvastagsághoz</t>
  </si>
  <si>
    <t>Beltéri ajtólapok elhelyezése, kiegészítő szerelvények nélkül, 40 mm vastag faforgácslap-betétes, 3 oldalon falcolt ajtólappal, 750x2000-1250x2250 mm névleges méretig, egyszárnyú tömör ajtólappal,
PASCAL Eco Project Basic HDF keretbe illesztett tömör faforgács betétes 40mm vtg, falcos beltéri ajtólap, 5mm vtg faforgács lemezre felhordott CPL felülettel (szürke), hengerzárbetétes bevésőzárral (pl. KABA Gege 170 dekorezüst), 2db háromrészes nikkelezett pánttal (pl. SIMONSWERK V0037/V8000)</t>
  </si>
  <si>
    <t>A-01 jelű
névleges méret = 1000x2125mm
szellőzőrács beépítéséhez előkészítve</t>
  </si>
  <si>
    <t>A-02 jelű
névleges méret = 1000x2125mm</t>
  </si>
  <si>
    <t>A-01* jelű
névleges méret = 1000x2125mm
szellőzőrács beépítéséhez előkészítve, wc zárral</t>
  </si>
  <si>
    <t>Kiegészítő szerelvények elhelyezése beltéri ajtólapokhoz,
TUPAI Trendy R 2276 körcímkés, rozsdamentes acél kilincsgarnitúra, wc záras kivitelben</t>
  </si>
  <si>
    <t>Bejáratok, nyílászárók védelme, hidraulikus ajtóbehúzó ajtóra vagy ajtótokra szerelve, beltéri kivitelben,
GEZE TS 5000S ajtócsukó test, EN2-6, előlröl állítható csukáskésleltetővel 30 mp-ig, csúszósínes karral, 80kg-ig, maximális ajtószárny szélesség: 1400 mm, felület: ezüst, burkolat színe választható: ezüst</t>
  </si>
  <si>
    <t>L-04 jelű</t>
  </si>
  <si>
    <t>Üvegtégla fal készítése, 2,00 m² felület felett, 19x19x8-10 cm méretű üvegtéglából,
Német Wolke normál üvegtégla, fehér, 19x19x8 cm Kód: 198 W
A-03 jelű, névleges méret = 810x2110mm</t>
  </si>
  <si>
    <t>Párafékező, párazáró fólia terítése 15 cm-es átfedéssel,
DÖRKEN Delta Novaflexx, 1,5 × 50 m, rugalmas Sd-értékkel rendelkező párafékező fólia tetőfelújításokhoz</t>
  </si>
  <si>
    <t>35-002-3-0115075</t>
  </si>
  <si>
    <t>Tetőfóliák átfedéseinek vagy csomópontjainak tömítése és/vagy ragasztása tömítő vagy ragasztó szalaggal,
DÖRKEN Delta MultiBand univerzális ragasztószalag, 60 mm × 25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</si>
</sst>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0"/>
      <color theme="1"/>
      <name val="Century Gothic"/>
      <family val="2"/>
      <charset val="238"/>
    </font>
    <font>
      <sz val="10"/>
      <color theme="1"/>
      <name val="Times New Roman"/>
      <family val="1"/>
      <charset val="238"/>
    </font>
    <font>
      <b/>
      <sz val="10"/>
      <color theme="1"/>
      <name val="Times New Roman"/>
      <family val="1"/>
      <charset val="238"/>
    </font>
    <font>
      <sz val="10"/>
      <name val="Times New Roman"/>
      <family val="1"/>
      <charset val="238"/>
    </font>
    <font>
      <b/>
      <sz val="11"/>
      <color indexed="9"/>
      <name val="Times New Roman CE"/>
      <charset val="238"/>
    </font>
    <font>
      <sz val="11"/>
      <name val="Times New Roman"/>
      <family val="1"/>
      <charset val="238"/>
    </font>
    <font>
      <b/>
      <sz val="11"/>
      <color indexed="9"/>
      <name val="Times New Roman"/>
      <family val="1"/>
      <charset val="238"/>
    </font>
    <font>
      <sz val="10"/>
      <name val="Arial"/>
      <family val="2"/>
      <charset val="238"/>
    </font>
    <font>
      <b/>
      <sz val="11"/>
      <name val="Times New Roman"/>
      <family val="1"/>
      <charset val="238"/>
    </font>
    <font>
      <b/>
      <sz val="10"/>
      <name val="Times New Roman CE"/>
      <charset val="238"/>
    </font>
    <font>
      <sz val="10"/>
      <name val="Times New Roman CE"/>
      <charset val="238"/>
    </font>
    <font>
      <i/>
      <sz val="10"/>
      <name val="Times New Roman CE"/>
      <charset val="238"/>
    </font>
    <font>
      <b/>
      <sz val="10"/>
      <name val="Times New Roman"/>
      <family val="1"/>
      <charset val="238"/>
    </font>
    <font>
      <b/>
      <sz val="11"/>
      <name val="Times New Roman CE"/>
      <charset val="238"/>
    </font>
    <font>
      <b/>
      <sz val="11"/>
      <color indexed="9"/>
      <name val="Times New Roman"/>
      <family val="1"/>
    </font>
    <font>
      <sz val="10"/>
      <name val="Helv"/>
      <charset val="238"/>
    </font>
    <font>
      <sz val="11"/>
      <name val="Times New Roman"/>
      <family val="1"/>
    </font>
    <font>
      <b/>
      <sz val="12"/>
      <name val="Times New Roman"/>
      <family val="1"/>
      <charset val="238"/>
    </font>
    <font>
      <b/>
      <sz val="10"/>
      <name val="Times New Roman CE"/>
      <family val="1"/>
      <charset val="238"/>
    </font>
    <font>
      <sz val="11"/>
      <color theme="1"/>
      <name val="Calibri"/>
      <family val="2"/>
      <charset val="238"/>
      <scheme val="minor"/>
    </font>
    <font>
      <sz val="8"/>
      <color theme="1"/>
      <name val="Century Gothic"/>
      <family val="2"/>
      <charset val="238"/>
    </font>
    <font>
      <sz val="11"/>
      <color theme="1"/>
      <name val="Century Gothic"/>
      <family val="2"/>
      <charset val="238"/>
    </font>
    <font>
      <sz val="10"/>
      <name val="Arial CE"/>
      <family val="2"/>
      <charset val="238"/>
    </font>
    <font>
      <sz val="11"/>
      <color theme="1"/>
      <name val="Arial Narrow"/>
      <family val="2"/>
      <charset val="238"/>
    </font>
    <font>
      <vertAlign val="superscript"/>
      <sz val="10"/>
      <name val="Times New Roman"/>
      <family val="1"/>
      <charset val="238"/>
    </font>
  </fonts>
  <fills count="7">
    <fill>
      <patternFill patternType="none"/>
    </fill>
    <fill>
      <patternFill patternType="gray125"/>
    </fill>
    <fill>
      <patternFill patternType="solid">
        <fgColor indexed="8"/>
        <bgColor indexed="58"/>
      </patternFill>
    </fill>
    <fill>
      <patternFill patternType="solid">
        <fgColor indexed="22"/>
        <bgColor indexed="31"/>
      </patternFill>
    </fill>
    <fill>
      <patternFill patternType="solid">
        <fgColor indexed="55"/>
        <bgColor indexed="23"/>
      </patternFill>
    </fill>
    <fill>
      <patternFill patternType="solid">
        <fgColor indexed="57"/>
        <bgColor indexed="21"/>
      </patternFill>
    </fill>
    <fill>
      <patternFill patternType="solid">
        <fgColor indexed="8"/>
        <bgColor indexed="64"/>
      </patternFill>
    </fill>
  </fills>
  <borders count="16">
    <border>
      <left/>
      <right/>
      <top/>
      <bottom/>
      <diagonal/>
    </border>
    <border>
      <left/>
      <right/>
      <top style="thin">
        <color indexed="64"/>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diagonal/>
    </border>
    <border>
      <left style="thin">
        <color indexed="8"/>
      </left>
      <right/>
      <top style="thin">
        <color indexed="8"/>
      </top>
      <bottom/>
      <diagonal/>
    </border>
    <border>
      <left style="thin">
        <color indexed="8"/>
      </left>
      <right/>
      <top/>
      <bottom style="thin">
        <color indexed="8"/>
      </bottom>
      <diagonal/>
    </border>
    <border>
      <left/>
      <right/>
      <top/>
      <bottom style="thin">
        <color indexed="8"/>
      </bottom>
      <diagonal/>
    </border>
    <border>
      <left/>
      <right/>
      <top style="thin">
        <color indexed="64"/>
      </top>
      <bottom style="thin">
        <color indexed="64"/>
      </bottom>
      <diagonal/>
    </border>
  </borders>
  <cellStyleXfs count="8">
    <xf numFmtId="0" fontId="0" fillId="0" borderId="0"/>
    <xf numFmtId="0" fontId="5" fillId="0" borderId="0"/>
    <xf numFmtId="0" fontId="19" fillId="0" borderId="0"/>
    <xf numFmtId="0" fontId="20" fillId="0" borderId="0"/>
    <xf numFmtId="0" fontId="21" fillId="0" borderId="0"/>
    <xf numFmtId="0" fontId="19" fillId="0" borderId="0"/>
    <xf numFmtId="0" fontId="22" fillId="0" borderId="0"/>
    <xf numFmtId="0" fontId="23" fillId="0" borderId="0">
      <alignment vertical="center" wrapText="1"/>
    </xf>
  </cellStyleXfs>
  <cellXfs count="136">
    <xf numFmtId="0" fontId="0" fillId="0" borderId="0" xfId="0"/>
    <xf numFmtId="0" fontId="1" fillId="0" borderId="0" xfId="0" applyFont="1"/>
    <xf numFmtId="0" fontId="1" fillId="0" borderId="0" xfId="0" applyFont="1" applyAlignment="1">
      <alignment vertical="top" wrapText="1"/>
    </xf>
    <xf numFmtId="4" fontId="1" fillId="0" borderId="0" xfId="0" applyNumberFormat="1" applyFont="1"/>
    <xf numFmtId="4" fontId="1" fillId="0" borderId="0" xfId="0" applyNumberFormat="1" applyFont="1" applyFill="1"/>
    <xf numFmtId="3" fontId="1" fillId="0" borderId="0" xfId="0" applyNumberFormat="1" applyFont="1"/>
    <xf numFmtId="0" fontId="1" fillId="0" borderId="0" xfId="0" applyFont="1" applyFill="1" applyAlignment="1">
      <alignment vertical="top" wrapText="1"/>
    </xf>
    <xf numFmtId="0" fontId="2" fillId="0" borderId="0" xfId="0" applyFont="1" applyAlignment="1">
      <alignment vertical="top" wrapText="1"/>
    </xf>
    <xf numFmtId="0" fontId="2" fillId="0" borderId="1" xfId="0" applyFont="1" applyBorder="1"/>
    <xf numFmtId="4" fontId="2" fillId="0" borderId="1" xfId="0" applyNumberFormat="1" applyFont="1" applyBorder="1"/>
    <xf numFmtId="3" fontId="2" fillId="0" borderId="1" xfId="0" applyNumberFormat="1" applyFont="1" applyBorder="1"/>
    <xf numFmtId="0" fontId="1" fillId="0" borderId="0" xfId="0" applyFont="1" applyFill="1"/>
    <xf numFmtId="0" fontId="6" fillId="0" borderId="0" xfId="1" applyFont="1" applyFill="1" applyBorder="1" applyAlignment="1">
      <alignment horizontal="center"/>
    </xf>
    <xf numFmtId="3" fontId="6" fillId="0" borderId="0" xfId="1" applyNumberFormat="1" applyFont="1" applyFill="1" applyBorder="1" applyAlignment="1">
      <alignment horizontal="center"/>
    </xf>
    <xf numFmtId="0" fontId="7" fillId="0" borderId="0" xfId="0" applyFont="1" applyFill="1" applyBorder="1" applyAlignment="1">
      <alignment vertical="top" wrapText="1"/>
    </xf>
    <xf numFmtId="0" fontId="7" fillId="0" borderId="0" xfId="0" applyFont="1" applyAlignment="1">
      <alignment vertical="top" wrapText="1"/>
    </xf>
    <xf numFmtId="0" fontId="6" fillId="0" borderId="0" xfId="0" applyFont="1" applyFill="1" applyBorder="1" applyAlignment="1">
      <alignment horizontal="center"/>
    </xf>
    <xf numFmtId="3" fontId="6" fillId="0" borderId="0" xfId="0" applyNumberFormat="1" applyFont="1" applyFill="1" applyBorder="1" applyAlignment="1">
      <alignment horizontal="center"/>
    </xf>
    <xf numFmtId="0" fontId="7" fillId="0" borderId="4" xfId="0" applyFont="1" applyBorder="1" applyAlignment="1">
      <alignment vertical="top" wrapText="1"/>
    </xf>
    <xf numFmtId="0" fontId="5" fillId="0" borderId="5" xfId="1" applyBorder="1" applyAlignment="1">
      <alignment horizontal="left"/>
    </xf>
    <xf numFmtId="4" fontId="7" fillId="0" borderId="5" xfId="0" applyNumberFormat="1" applyFont="1" applyBorder="1" applyAlignment="1">
      <alignment vertical="top" wrapText="1"/>
    </xf>
    <xf numFmtId="3" fontId="7" fillId="0" borderId="5" xfId="0" applyNumberFormat="1" applyFont="1" applyBorder="1" applyAlignment="1">
      <alignment vertical="top" wrapText="1"/>
    </xf>
    <xf numFmtId="0" fontId="7" fillId="0" borderId="6" xfId="0" applyFont="1" applyBorder="1" applyAlignment="1">
      <alignment horizontal="right"/>
    </xf>
    <xf numFmtId="3" fontId="5" fillId="0" borderId="0" xfId="0" applyNumberFormat="1" applyFont="1" applyFill="1" applyBorder="1" applyAlignment="1">
      <alignment vertical="top" wrapText="1"/>
    </xf>
    <xf numFmtId="0" fontId="8" fillId="0" borderId="0" xfId="1" applyFont="1" applyFill="1" applyBorder="1" applyAlignment="1">
      <alignment horizontal="center"/>
    </xf>
    <xf numFmtId="3" fontId="8" fillId="0" borderId="0" xfId="1" applyNumberFormat="1" applyFont="1" applyFill="1" applyBorder="1" applyAlignment="1">
      <alignment horizontal="center"/>
    </xf>
    <xf numFmtId="3" fontId="9" fillId="0" borderId="9" xfId="0" applyNumberFormat="1" applyFont="1" applyBorder="1" applyAlignment="1">
      <alignment horizontal="right" vertical="top" wrapText="1"/>
    </xf>
    <xf numFmtId="0" fontId="9" fillId="0" borderId="10" xfId="0" applyFont="1" applyBorder="1" applyAlignment="1">
      <alignment horizontal="right" vertical="top" wrapText="1"/>
    </xf>
    <xf numFmtId="0" fontId="9" fillId="0" borderId="0" xfId="0" applyFont="1" applyFill="1" applyBorder="1" applyAlignment="1">
      <alignment vertical="top" wrapText="1"/>
    </xf>
    <xf numFmtId="3" fontId="9" fillId="0" borderId="0" xfId="0" applyNumberFormat="1" applyFont="1" applyFill="1" applyBorder="1" applyAlignment="1">
      <alignment vertical="top" wrapText="1"/>
    </xf>
    <xf numFmtId="0" fontId="9" fillId="0" borderId="0" xfId="0" applyFont="1" applyBorder="1" applyAlignment="1">
      <alignment vertical="top" wrapText="1"/>
    </xf>
    <xf numFmtId="0" fontId="9" fillId="0" borderId="4" xfId="0" applyFont="1" applyBorder="1" applyAlignment="1">
      <alignment vertical="top" wrapText="1"/>
    </xf>
    <xf numFmtId="3" fontId="9" fillId="0" borderId="0" xfId="0" applyNumberFormat="1" applyFont="1" applyBorder="1" applyAlignment="1">
      <alignment horizontal="right" vertical="top" wrapText="1"/>
    </xf>
    <xf numFmtId="0" fontId="9" fillId="0" borderId="11" xfId="0" applyFont="1" applyBorder="1" applyAlignment="1">
      <alignment vertical="top" wrapText="1"/>
    </xf>
    <xf numFmtId="3" fontId="10" fillId="0" borderId="0" xfId="0" applyNumberFormat="1" applyFont="1" applyFill="1" applyBorder="1" applyAlignment="1">
      <alignment vertical="top" wrapText="1"/>
    </xf>
    <xf numFmtId="3" fontId="10" fillId="0" borderId="11" xfId="0" applyNumberFormat="1" applyFont="1" applyBorder="1" applyAlignment="1">
      <alignment vertical="top" wrapText="1"/>
    </xf>
    <xf numFmtId="0" fontId="10" fillId="0" borderId="0" xfId="0" applyFont="1" applyAlignment="1">
      <alignment vertical="top" wrapText="1"/>
    </xf>
    <xf numFmtId="3" fontId="10" fillId="0" borderId="0" xfId="0" applyNumberFormat="1" applyFont="1" applyAlignment="1">
      <alignment vertical="top" wrapText="1"/>
    </xf>
    <xf numFmtId="0" fontId="10" fillId="0" borderId="0" xfId="0" applyFont="1" applyFill="1" applyBorder="1" applyAlignment="1">
      <alignment vertical="top" wrapText="1"/>
    </xf>
    <xf numFmtId="0" fontId="11" fillId="0" borderId="0" xfId="0" applyFont="1" applyAlignment="1">
      <alignment vertical="top" wrapText="1"/>
    </xf>
    <xf numFmtId="3" fontId="11" fillId="0" borderId="0" xfId="0" applyNumberFormat="1" applyFont="1" applyAlignment="1">
      <alignment vertical="top" wrapText="1"/>
    </xf>
    <xf numFmtId="3" fontId="9" fillId="0" borderId="9" xfId="0" applyNumberFormat="1" applyFont="1" applyBorder="1" applyAlignment="1">
      <alignment vertical="top" wrapText="1"/>
    </xf>
    <xf numFmtId="3" fontId="9" fillId="0" borderId="10" xfId="0" applyNumberFormat="1" applyFont="1" applyBorder="1" applyAlignment="1">
      <alignment vertical="top" wrapText="1"/>
    </xf>
    <xf numFmtId="3" fontId="9" fillId="0" borderId="0" xfId="0" applyNumberFormat="1" applyFont="1" applyBorder="1" applyAlignment="1">
      <alignment vertical="top" wrapText="1"/>
    </xf>
    <xf numFmtId="0" fontId="5" fillId="0" borderId="0" xfId="1" applyBorder="1" applyAlignment="1">
      <alignment horizontal="left"/>
    </xf>
    <xf numFmtId="4" fontId="7" fillId="0" borderId="0" xfId="0" applyNumberFormat="1" applyFont="1" applyBorder="1" applyAlignment="1">
      <alignment vertical="top" wrapText="1"/>
    </xf>
    <xf numFmtId="3" fontId="7" fillId="0" borderId="0" xfId="0" applyNumberFormat="1" applyFont="1" applyBorder="1" applyAlignment="1">
      <alignment vertical="top" wrapText="1"/>
    </xf>
    <xf numFmtId="0" fontId="7" fillId="0" borderId="0" xfId="0" applyFont="1" applyBorder="1" applyAlignment="1">
      <alignment horizontal="right"/>
    </xf>
    <xf numFmtId="3" fontId="9" fillId="0" borderId="14" xfId="0" applyNumberFormat="1" applyFont="1" applyFill="1" applyBorder="1" applyAlignment="1">
      <alignment horizontal="right" vertical="top" wrapText="1"/>
    </xf>
    <xf numFmtId="0" fontId="9" fillId="0" borderId="14" xfId="0" applyFont="1" applyFill="1" applyBorder="1" applyAlignment="1">
      <alignment horizontal="right" vertical="top" wrapText="1"/>
    </xf>
    <xf numFmtId="3" fontId="9" fillId="0" borderId="0" xfId="0" applyNumberFormat="1" applyFont="1" applyFill="1" applyBorder="1" applyAlignment="1">
      <alignment horizontal="right" vertical="top" wrapText="1"/>
    </xf>
    <xf numFmtId="3" fontId="10" fillId="4" borderId="0" xfId="0" applyNumberFormat="1" applyFont="1" applyFill="1" applyAlignment="1">
      <alignment vertical="top" wrapText="1"/>
    </xf>
    <xf numFmtId="3" fontId="9" fillId="4" borderId="9" xfId="0" applyNumberFormat="1" applyFont="1" applyFill="1" applyBorder="1" applyAlignment="1">
      <alignment vertical="top" wrapText="1"/>
    </xf>
    <xf numFmtId="0" fontId="10" fillId="4" borderId="0" xfId="0" applyFont="1" applyFill="1" applyAlignment="1">
      <alignment vertical="top" wrapText="1"/>
    </xf>
    <xf numFmtId="0" fontId="3" fillId="0" borderId="0" xfId="1" applyFont="1"/>
    <xf numFmtId="10" fontId="3" fillId="0" borderId="0" xfId="1" applyNumberFormat="1" applyFont="1"/>
    <xf numFmtId="3" fontId="3" fillId="4" borderId="0" xfId="1" applyNumberFormat="1" applyFont="1" applyFill="1" applyAlignment="1"/>
    <xf numFmtId="3" fontId="3" fillId="4" borderId="0" xfId="1" applyNumberFormat="1" applyFont="1" applyFill="1"/>
    <xf numFmtId="3" fontId="12" fillId="4" borderId="9" xfId="0" applyNumberFormat="1" applyFont="1" applyFill="1" applyBorder="1" applyAlignment="1">
      <alignment vertical="top" wrapText="1"/>
    </xf>
    <xf numFmtId="0" fontId="12" fillId="0" borderId="0" xfId="0" applyFont="1" applyBorder="1" applyAlignment="1">
      <alignment vertical="top" wrapText="1"/>
    </xf>
    <xf numFmtId="0" fontId="12" fillId="0" borderId="0" xfId="0" applyFont="1" applyBorder="1" applyAlignment="1">
      <alignment horizontal="left" vertical="top" wrapText="1"/>
    </xf>
    <xf numFmtId="3" fontId="12" fillId="4" borderId="0" xfId="0" applyNumberFormat="1" applyFont="1" applyFill="1" applyBorder="1" applyAlignment="1">
      <alignment vertical="top" wrapText="1"/>
    </xf>
    <xf numFmtId="3" fontId="13" fillId="5" borderId="9" xfId="0" applyNumberFormat="1" applyFont="1" applyFill="1" applyBorder="1" applyAlignment="1">
      <alignment wrapText="1"/>
    </xf>
    <xf numFmtId="0" fontId="13" fillId="0" borderId="0" xfId="0" applyFont="1" applyBorder="1" applyAlignment="1">
      <alignment vertical="top" wrapText="1"/>
    </xf>
    <xf numFmtId="0" fontId="10" fillId="0" borderId="0" xfId="0" applyFont="1" applyAlignment="1">
      <alignment horizontal="left" vertical="top" wrapText="1"/>
    </xf>
    <xf numFmtId="3" fontId="10" fillId="0" borderId="0" xfId="0" applyNumberFormat="1" applyFont="1" applyAlignment="1">
      <alignment horizontal="center" vertical="top" wrapText="1"/>
    </xf>
    <xf numFmtId="0" fontId="2" fillId="0" borderId="0" xfId="0" applyFont="1"/>
    <xf numFmtId="0" fontId="8" fillId="0" borderId="1" xfId="1" applyFont="1" applyBorder="1" applyAlignment="1">
      <alignment horizontal="left"/>
    </xf>
    <xf numFmtId="0" fontId="5" fillId="0" borderId="1" xfId="1" applyBorder="1" applyAlignment="1">
      <alignment horizontal="left"/>
    </xf>
    <xf numFmtId="4" fontId="15" fillId="0" borderId="1" xfId="0" applyNumberFormat="1" applyFont="1" applyBorder="1"/>
    <xf numFmtId="0" fontId="15" fillId="0" borderId="1" xfId="0" applyFont="1" applyBorder="1"/>
    <xf numFmtId="0" fontId="15" fillId="0" borderId="1" xfId="0" applyFont="1" applyBorder="1" applyAlignment="1">
      <alignment horizontal="right"/>
    </xf>
    <xf numFmtId="3" fontId="16" fillId="0" borderId="1" xfId="0" applyNumberFormat="1" applyFont="1" applyBorder="1"/>
    <xf numFmtId="3" fontId="3" fillId="0" borderId="0" xfId="0" applyNumberFormat="1" applyFont="1"/>
    <xf numFmtId="0" fontId="18" fillId="0" borderId="15" xfId="0" applyFont="1" applyBorder="1" applyAlignment="1">
      <alignment horizontal="left" vertical="top" wrapText="1"/>
    </xf>
    <xf numFmtId="0" fontId="18" fillId="0" borderId="15" xfId="0" applyFont="1" applyBorder="1" applyAlignment="1">
      <alignment vertical="top" wrapText="1"/>
    </xf>
    <xf numFmtId="4" fontId="18" fillId="0" borderId="15" xfId="0" applyNumberFormat="1" applyFont="1" applyBorder="1" applyAlignment="1">
      <alignment horizontal="right" vertical="top" wrapText="1"/>
    </xf>
    <xf numFmtId="4" fontId="18" fillId="0" borderId="15" xfId="0" applyNumberFormat="1" applyFont="1" applyBorder="1" applyAlignment="1">
      <alignment vertical="top" wrapText="1"/>
    </xf>
    <xf numFmtId="3" fontId="18" fillId="0" borderId="15" xfId="0" applyNumberFormat="1" applyFont="1" applyBorder="1" applyAlignment="1">
      <alignment vertical="top" wrapText="1"/>
    </xf>
    <xf numFmtId="0" fontId="3" fillId="0" borderId="0" xfId="0" applyFont="1" applyAlignment="1">
      <alignment vertical="top" wrapText="1"/>
    </xf>
    <xf numFmtId="0" fontId="3" fillId="0" borderId="0" xfId="0" applyFont="1"/>
    <xf numFmtId="4" fontId="3" fillId="0" borderId="0" xfId="0" applyNumberFormat="1" applyFont="1"/>
    <xf numFmtId="0" fontId="2" fillId="0" borderId="0" xfId="0" applyFont="1" applyBorder="1" applyAlignment="1">
      <alignment vertical="top" wrapText="1"/>
    </xf>
    <xf numFmtId="0" fontId="1" fillId="0" borderId="0" xfId="0" applyFont="1" applyBorder="1" applyAlignment="1">
      <alignment vertical="top" wrapText="1"/>
    </xf>
    <xf numFmtId="0" fontId="1" fillId="0" borderId="0" xfId="2" applyFont="1" applyBorder="1" applyAlignment="1">
      <alignment wrapText="1"/>
    </xf>
    <xf numFmtId="4" fontId="1" fillId="0" borderId="0" xfId="2" applyNumberFormat="1" applyFont="1" applyBorder="1" applyAlignment="1"/>
    <xf numFmtId="4" fontId="1" fillId="0" borderId="0" xfId="0" applyNumberFormat="1" applyFont="1" applyBorder="1"/>
    <xf numFmtId="3" fontId="1" fillId="0" borderId="0" xfId="0" applyNumberFormat="1" applyFont="1" applyBorder="1"/>
    <xf numFmtId="0" fontId="1" fillId="0" borderId="0" xfId="0" applyFont="1" applyBorder="1"/>
    <xf numFmtId="0" fontId="3" fillId="0" borderId="0" xfId="2" applyFont="1" applyBorder="1" applyAlignment="1">
      <alignment vertical="center" wrapText="1"/>
    </xf>
    <xf numFmtId="0" fontId="3" fillId="0" borderId="0" xfId="2" applyFont="1" applyBorder="1" applyAlignment="1">
      <alignment horizontal="left" vertical="center" wrapText="1"/>
    </xf>
    <xf numFmtId="0" fontId="3" fillId="0" borderId="0" xfId="3" applyFont="1" applyBorder="1" applyAlignment="1">
      <alignment wrapText="1"/>
    </xf>
    <xf numFmtId="0" fontId="3" fillId="0" borderId="0" xfId="3" applyFont="1" applyFill="1" applyBorder="1" applyAlignment="1">
      <alignment wrapText="1"/>
    </xf>
    <xf numFmtId="4" fontId="1" fillId="0" borderId="0" xfId="2" applyNumberFormat="1" applyFont="1" applyBorder="1"/>
    <xf numFmtId="3" fontId="16" fillId="0" borderId="1" xfId="0" applyNumberFormat="1" applyFont="1" applyBorder="1" applyAlignment="1">
      <alignment horizontal="left"/>
    </xf>
    <xf numFmtId="0" fontId="3" fillId="0" borderId="0" xfId="0" applyFont="1" applyAlignment="1">
      <alignment horizontal="left"/>
    </xf>
    <xf numFmtId="0" fontId="1" fillId="0" borderId="0" xfId="2" applyFont="1" applyBorder="1" applyAlignment="1">
      <alignment horizontal="left"/>
    </xf>
    <xf numFmtId="0" fontId="3" fillId="0" borderId="0" xfId="2" applyFont="1" applyBorder="1" applyAlignment="1">
      <alignment horizontal="left"/>
    </xf>
    <xf numFmtId="0" fontId="2" fillId="0" borderId="1"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left"/>
    </xf>
    <xf numFmtId="4" fontId="15" fillId="0" borderId="1" xfId="0" applyNumberFormat="1" applyFont="1" applyBorder="1" applyAlignment="1">
      <alignment horizontal="right"/>
    </xf>
    <xf numFmtId="4" fontId="18" fillId="0" borderId="15" xfId="0" applyNumberFormat="1" applyFont="1" applyBorder="1" applyAlignment="1">
      <alignment horizontal="right" wrapText="1"/>
    </xf>
    <xf numFmtId="4" fontId="3" fillId="0" borderId="0" xfId="0" applyNumberFormat="1" applyFont="1" applyAlignment="1">
      <alignment horizontal="right"/>
    </xf>
    <xf numFmtId="4" fontId="1" fillId="0" borderId="0" xfId="2" applyNumberFormat="1" applyFont="1" applyBorder="1" applyAlignment="1">
      <alignment horizontal="right"/>
    </xf>
    <xf numFmtId="4" fontId="3" fillId="0" borderId="0" xfId="2" applyNumberFormat="1" applyFont="1" applyFill="1" applyBorder="1" applyAlignment="1">
      <alignment horizontal="right"/>
    </xf>
    <xf numFmtId="4" fontId="2" fillId="0" borderId="1" xfId="0" applyNumberFormat="1" applyFont="1" applyBorder="1" applyAlignment="1">
      <alignment horizontal="right"/>
    </xf>
    <xf numFmtId="4" fontId="1" fillId="0" borderId="0" xfId="0" applyNumberFormat="1" applyFont="1" applyBorder="1" applyAlignment="1">
      <alignment horizontal="right"/>
    </xf>
    <xf numFmtId="4" fontId="1" fillId="0" borderId="0" xfId="0" applyNumberFormat="1" applyFont="1" applyAlignment="1">
      <alignment horizontal="right"/>
    </xf>
    <xf numFmtId="3" fontId="1" fillId="0" borderId="0" xfId="2" applyNumberFormat="1" applyFont="1" applyBorder="1" applyAlignment="1">
      <alignment horizontal="right"/>
    </xf>
    <xf numFmtId="3" fontId="3" fillId="0" borderId="0" xfId="2" applyNumberFormat="1" applyFont="1" applyFill="1" applyBorder="1" applyAlignment="1">
      <alignment horizontal="right"/>
    </xf>
    <xf numFmtId="0" fontId="2" fillId="0" borderId="0" xfId="0" applyFont="1" applyFill="1" applyAlignment="1">
      <alignment vertical="top" wrapText="1"/>
    </xf>
    <xf numFmtId="3" fontId="1" fillId="0" borderId="0" xfId="0" applyNumberFormat="1" applyFont="1" applyFill="1"/>
    <xf numFmtId="0" fontId="1" fillId="0" borderId="0" xfId="2" applyFont="1" applyBorder="1" applyAlignment="1">
      <alignment horizontal="left" vertical="center" wrapText="1"/>
    </xf>
    <xf numFmtId="0" fontId="1" fillId="0" borderId="0" xfId="2" applyFont="1" applyBorder="1" applyAlignment="1">
      <alignment horizontal="left" vertical="top" wrapText="1"/>
    </xf>
    <xf numFmtId="0" fontId="1" fillId="0" borderId="0" xfId="3" applyFont="1" applyBorder="1" applyAlignment="1">
      <alignment wrapText="1"/>
    </xf>
    <xf numFmtId="0" fontId="12" fillId="0" borderId="0" xfId="0" applyFont="1" applyAlignment="1">
      <alignment vertical="top" wrapText="1"/>
    </xf>
    <xf numFmtId="4" fontId="3" fillId="0" borderId="0" xfId="0" applyNumberFormat="1" applyFont="1" applyFill="1"/>
    <xf numFmtId="0" fontId="10" fillId="0" borderId="0" xfId="0" applyFont="1" applyAlignment="1">
      <alignment horizontal="left" vertical="top" wrapText="1"/>
    </xf>
    <xf numFmtId="0" fontId="10" fillId="0" borderId="0" xfId="0" applyFont="1" applyBorder="1" applyAlignment="1">
      <alignment horizontal="left" vertical="top" wrapText="1"/>
    </xf>
    <xf numFmtId="0" fontId="12" fillId="0" borderId="9" xfId="0" applyFont="1" applyBorder="1" applyAlignment="1">
      <alignment horizontal="left" vertical="top" wrapText="1"/>
    </xf>
    <xf numFmtId="0" fontId="13" fillId="5" borderId="9" xfId="0" applyFont="1" applyFill="1" applyBorder="1" applyAlignment="1">
      <alignment horizontal="left" vertical="top" wrapText="1"/>
    </xf>
    <xf numFmtId="0" fontId="9" fillId="0" borderId="9" xfId="0" applyFont="1" applyBorder="1" applyAlignment="1">
      <alignment horizontal="left" vertical="top" wrapText="1"/>
    </xf>
    <xf numFmtId="0" fontId="6" fillId="2" borderId="12" xfId="1" applyFont="1" applyFill="1" applyBorder="1" applyAlignment="1">
      <alignment horizontal="center"/>
    </xf>
    <xf numFmtId="0" fontId="4" fillId="2" borderId="13" xfId="0" applyFont="1" applyFill="1" applyBorder="1" applyAlignment="1">
      <alignment horizontal="center"/>
    </xf>
    <xf numFmtId="0" fontId="8" fillId="0" borderId="0" xfId="1" applyFont="1" applyBorder="1" applyAlignment="1">
      <alignment horizontal="center"/>
    </xf>
    <xf numFmtId="0" fontId="9" fillId="0" borderId="14" xfId="0" applyFont="1" applyBorder="1" applyAlignment="1">
      <alignment horizontal="left" vertical="top" wrapText="1"/>
    </xf>
    <xf numFmtId="0" fontId="9" fillId="0" borderId="8" xfId="0" applyFont="1" applyBorder="1" applyAlignment="1">
      <alignment horizontal="left" vertical="top" wrapText="1"/>
    </xf>
    <xf numFmtId="0" fontId="10" fillId="0" borderId="4" xfId="0" applyFont="1" applyBorder="1" applyAlignment="1">
      <alignment horizontal="left" vertical="top"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8" fillId="3" borderId="7" xfId="1" applyFont="1" applyFill="1" applyBorder="1" applyAlignment="1">
      <alignment horizontal="center"/>
    </xf>
    <xf numFmtId="0" fontId="2" fillId="0" borderId="1" xfId="0" applyFont="1" applyBorder="1" applyAlignment="1">
      <alignment horizontal="left" vertical="top" wrapText="1"/>
    </xf>
    <xf numFmtId="0" fontId="14" fillId="6" borderId="0" xfId="1" applyFont="1" applyFill="1" applyBorder="1" applyAlignment="1">
      <alignment horizontal="center"/>
    </xf>
    <xf numFmtId="0" fontId="14" fillId="6" borderId="0" xfId="0" applyFont="1" applyFill="1" applyBorder="1" applyAlignment="1">
      <alignment horizontal="center"/>
    </xf>
    <xf numFmtId="0" fontId="17" fillId="0" borderId="0" xfId="1" applyFont="1" applyBorder="1" applyAlignment="1">
      <alignment horizontal="center"/>
    </xf>
  </cellXfs>
  <cellStyles count="8">
    <cellStyle name="Normál" xfId="0" builtinId="0"/>
    <cellStyle name="Normál 2" xfId="6"/>
    <cellStyle name="Normál 3" xfId="3"/>
    <cellStyle name="Normál 3 2" xfId="4"/>
    <cellStyle name="Normál 4" xfId="2"/>
    <cellStyle name="Normál 8" xfId="5"/>
    <cellStyle name="Normál_Költségvetés Nyíregyháza" xfId="1"/>
    <cellStyle name="Stílus 1"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tabSelected="1" workbookViewId="0">
      <selection activeCell="I12" sqref="I12"/>
    </sheetView>
  </sheetViews>
  <sheetFormatPr defaultRowHeight="12.75" x14ac:dyDescent="0.25"/>
  <cols>
    <col min="1" max="1" width="35.7109375" style="36" customWidth="1"/>
    <col min="2" max="2" width="7.7109375" style="36" customWidth="1"/>
    <col min="3" max="3" width="15.7109375" style="37" customWidth="1"/>
    <col min="4" max="4" width="15.5703125" style="37" customWidth="1"/>
    <col min="5" max="5" width="15.7109375" style="36" customWidth="1"/>
    <col min="6" max="16384" width="9.140625" style="36"/>
  </cols>
  <sheetData>
    <row r="1" spans="1:6" s="15" customFormat="1" ht="14.25" x14ac:dyDescent="0.2">
      <c r="A1" s="123" t="s">
        <v>361</v>
      </c>
      <c r="B1" s="123"/>
      <c r="C1" s="123"/>
      <c r="D1" s="123"/>
      <c r="E1" s="123"/>
      <c r="F1" s="12"/>
    </row>
    <row r="2" spans="1:6" s="15" customFormat="1" ht="14.25" x14ac:dyDescent="0.2">
      <c r="A2" s="124" t="s">
        <v>362</v>
      </c>
      <c r="B2" s="124"/>
      <c r="C2" s="124"/>
      <c r="D2" s="124"/>
      <c r="E2" s="124"/>
      <c r="F2" s="16"/>
    </row>
    <row r="3" spans="1:6" s="15" customFormat="1" ht="15" x14ac:dyDescent="0.25">
      <c r="B3" s="44"/>
      <c r="C3" s="45"/>
      <c r="D3" s="46"/>
      <c r="E3" s="47"/>
      <c r="F3" s="23"/>
    </row>
    <row r="4" spans="1:6" s="15" customFormat="1" ht="14.25" x14ac:dyDescent="0.2">
      <c r="A4" s="125" t="s">
        <v>345</v>
      </c>
      <c r="B4" s="125"/>
      <c r="C4" s="125"/>
      <c r="D4" s="125"/>
      <c r="E4" s="125"/>
      <c r="F4" s="24"/>
    </row>
    <row r="5" spans="1:6" s="30" customFormat="1" x14ac:dyDescent="0.25">
      <c r="A5" s="126"/>
      <c r="B5" s="126"/>
      <c r="C5" s="48" t="s">
        <v>342</v>
      </c>
      <c r="D5" s="48" t="s">
        <v>343</v>
      </c>
      <c r="E5" s="49" t="s">
        <v>346</v>
      </c>
      <c r="F5" s="28"/>
    </row>
    <row r="6" spans="1:6" s="30" customFormat="1" x14ac:dyDescent="0.25">
      <c r="C6" s="50"/>
      <c r="D6" s="50"/>
      <c r="E6" s="28"/>
      <c r="F6" s="28"/>
    </row>
    <row r="7" spans="1:6" x14ac:dyDescent="0.25">
      <c r="A7" s="119" t="str">
        <f>Összesítő!A11</f>
        <v>Homlokzat hőszigetelése</v>
      </c>
      <c r="B7" s="119"/>
      <c r="C7" s="51">
        <f>Összesítő!C11</f>
        <v>0</v>
      </c>
      <c r="D7" s="51">
        <f>Összesítő!D11</f>
        <v>0</v>
      </c>
      <c r="E7" s="51">
        <f t="shared" ref="E7:E13" si="0">SUM(C7:D7)</f>
        <v>0</v>
      </c>
      <c r="F7" s="38"/>
    </row>
    <row r="8" spans="1:6" x14ac:dyDescent="0.25">
      <c r="A8" s="119" t="str">
        <f>Összesítő!A16</f>
        <v>Homlokzati nyílászárók cseréje</v>
      </c>
      <c r="B8" s="119"/>
      <c r="C8" s="51">
        <f>Összesítő!C16</f>
        <v>0</v>
      </c>
      <c r="D8" s="51">
        <f>Összesítő!D16</f>
        <v>0</v>
      </c>
      <c r="E8" s="51">
        <f t="shared" si="0"/>
        <v>0</v>
      </c>
      <c r="F8" s="38"/>
    </row>
    <row r="9" spans="1:6" x14ac:dyDescent="0.25">
      <c r="A9" s="119" t="str">
        <f>Összesítő!A23</f>
        <v>Padlószerkezet hőszigetelése</v>
      </c>
      <c r="B9" s="119"/>
      <c r="C9" s="51">
        <f>Összesítő!C23</f>
        <v>0</v>
      </c>
      <c r="D9" s="51">
        <f>Összesítő!D23</f>
        <v>0</v>
      </c>
      <c r="E9" s="51">
        <f t="shared" si="0"/>
        <v>0</v>
      </c>
      <c r="F9" s="38"/>
    </row>
    <row r="10" spans="1:6" x14ac:dyDescent="0.25">
      <c r="A10" s="119" t="str">
        <f>Összesítő!A26</f>
        <v>Pincefödém hőszigetelése</v>
      </c>
      <c r="B10" s="119"/>
      <c r="C10" s="51">
        <f>Összesítő!C26</f>
        <v>0</v>
      </c>
      <c r="D10" s="51">
        <f>Összesítő!D26</f>
        <v>0</v>
      </c>
      <c r="E10" s="51">
        <f t="shared" si="0"/>
        <v>0</v>
      </c>
      <c r="F10" s="38"/>
    </row>
    <row r="11" spans="1:6" x14ac:dyDescent="0.25">
      <c r="A11" s="119" t="str">
        <f>Összesítő!A30</f>
        <v>Padlásfödém hőszigetelése</v>
      </c>
      <c r="B11" s="119"/>
      <c r="C11" s="51">
        <f>Összesítő!C30</f>
        <v>0</v>
      </c>
      <c r="D11" s="51">
        <f>Összesítő!D30</f>
        <v>0</v>
      </c>
      <c r="E11" s="51">
        <f t="shared" si="0"/>
        <v>0</v>
      </c>
      <c r="F11" s="38"/>
    </row>
    <row r="12" spans="1:6" x14ac:dyDescent="0.25">
      <c r="A12" s="119" t="str">
        <f>Összesítő!A46</f>
        <v>Akadálymentesítés</v>
      </c>
      <c r="B12" s="119"/>
      <c r="C12" s="51">
        <f>Összesítő!C46</f>
        <v>0</v>
      </c>
      <c r="D12" s="51">
        <f>Összesítő!D46</f>
        <v>0</v>
      </c>
      <c r="E12" s="51">
        <f t="shared" si="0"/>
        <v>0</v>
      </c>
      <c r="F12" s="38"/>
    </row>
    <row r="13" spans="1:6" x14ac:dyDescent="0.25">
      <c r="A13" s="119" t="str">
        <f>Összesítő!A52</f>
        <v>Fűtési rendszer korszerűsítése</v>
      </c>
      <c r="B13" s="119"/>
      <c r="C13" s="51">
        <f>Összesítő!C52</f>
        <v>0</v>
      </c>
      <c r="D13" s="51">
        <f>Összesítő!D52</f>
        <v>0</v>
      </c>
      <c r="E13" s="51">
        <f t="shared" si="0"/>
        <v>0</v>
      </c>
      <c r="F13" s="38"/>
    </row>
    <row r="14" spans="1:6" x14ac:dyDescent="0.25">
      <c r="A14" s="119" t="str">
        <f>Összesítő!A56</f>
        <v>HMKE telepítése</v>
      </c>
      <c r="B14" s="119"/>
      <c r="C14" s="51">
        <f>Összesítő!C56</f>
        <v>0</v>
      </c>
      <c r="D14" s="51">
        <f>Összesítő!D56</f>
        <v>0</v>
      </c>
      <c r="E14" s="51">
        <f>SUM(C14:D14)</f>
        <v>0</v>
      </c>
      <c r="F14" s="38"/>
    </row>
    <row r="15" spans="1:6" s="30" customFormat="1" x14ac:dyDescent="0.25">
      <c r="A15" s="122" t="s">
        <v>347</v>
      </c>
      <c r="B15" s="122"/>
      <c r="C15" s="52">
        <f>SUM(C7:C14)</f>
        <v>0</v>
      </c>
      <c r="D15" s="52">
        <f>SUM(D7:D14)</f>
        <v>0</v>
      </c>
      <c r="E15" s="52">
        <f>SUM(C15:D15)</f>
        <v>0</v>
      </c>
    </row>
    <row r="16" spans="1:6" x14ac:dyDescent="0.25">
      <c r="C16" s="51"/>
      <c r="D16" s="51"/>
      <c r="E16" s="53"/>
    </row>
    <row r="17" spans="1:5" x14ac:dyDescent="0.25">
      <c r="C17" s="51"/>
      <c r="D17" s="51"/>
      <c r="E17" s="53"/>
    </row>
    <row r="18" spans="1:5" s="54" customFormat="1" x14ac:dyDescent="0.2">
      <c r="A18" s="54" t="s">
        <v>348</v>
      </c>
      <c r="B18" s="55">
        <v>0</v>
      </c>
      <c r="C18" s="56">
        <f>C$15*$B18</f>
        <v>0</v>
      </c>
      <c r="D18" s="57"/>
      <c r="E18" s="57">
        <f>SUM(C18:D18)</f>
        <v>0</v>
      </c>
    </row>
    <row r="19" spans="1:5" s="54" customFormat="1" x14ac:dyDescent="0.2">
      <c r="A19" s="54" t="s">
        <v>349</v>
      </c>
      <c r="B19" s="55">
        <v>0</v>
      </c>
      <c r="C19" s="56">
        <f>(C$15+C$18)*$B19</f>
        <v>0</v>
      </c>
      <c r="D19" s="57"/>
      <c r="E19" s="57">
        <f>SUM(C19:D19)</f>
        <v>0</v>
      </c>
    </row>
    <row r="20" spans="1:5" s="54" customFormat="1" x14ac:dyDescent="0.2">
      <c r="A20" s="54" t="s">
        <v>358</v>
      </c>
      <c r="B20" s="55">
        <v>0</v>
      </c>
      <c r="C20" s="56"/>
      <c r="D20" s="56">
        <f>D$15*$B20</f>
        <v>0</v>
      </c>
      <c r="E20" s="57">
        <f>SUM(C20:D20)</f>
        <v>0</v>
      </c>
    </row>
    <row r="21" spans="1:5" s="54" customFormat="1" x14ac:dyDescent="0.2">
      <c r="A21" s="54" t="s">
        <v>350</v>
      </c>
      <c r="B21" s="55">
        <v>0</v>
      </c>
      <c r="C21" s="56">
        <f>SUM(C$15:C$20)*$B21</f>
        <v>0</v>
      </c>
      <c r="D21" s="56">
        <f>SUM(D$15:D$20)*$B21</f>
        <v>0</v>
      </c>
      <c r="E21" s="57">
        <f>SUM(C21:D21)</f>
        <v>0</v>
      </c>
    </row>
    <row r="22" spans="1:5" s="59" customFormat="1" x14ac:dyDescent="0.25">
      <c r="A22" s="120" t="s">
        <v>351</v>
      </c>
      <c r="B22" s="120"/>
      <c r="C22" s="58">
        <f>SUM(C18:C21)</f>
        <v>0</v>
      </c>
      <c r="D22" s="58">
        <f>SUM(D18:D21)</f>
        <v>0</v>
      </c>
      <c r="E22" s="58">
        <f>SUM(C22:D22)</f>
        <v>0</v>
      </c>
    </row>
    <row r="23" spans="1:5" s="59" customFormat="1" x14ac:dyDescent="0.25">
      <c r="A23" s="60"/>
      <c r="B23" s="60"/>
      <c r="C23" s="61"/>
      <c r="D23" s="61"/>
      <c r="E23" s="61"/>
    </row>
    <row r="24" spans="1:5" s="63" customFormat="1" ht="14.25" x14ac:dyDescent="0.2">
      <c r="A24" s="121" t="s">
        <v>352</v>
      </c>
      <c r="B24" s="121"/>
      <c r="C24" s="62">
        <f>SUM(C15,C22)</f>
        <v>0</v>
      </c>
      <c r="D24" s="62">
        <f>SUM(D15,D22)</f>
        <v>0</v>
      </c>
      <c r="E24" s="62">
        <f>SUM(C24:D24)</f>
        <v>0</v>
      </c>
    </row>
    <row r="26" spans="1:5" x14ac:dyDescent="0.25">
      <c r="A26" s="36" t="s">
        <v>353</v>
      </c>
      <c r="E26" s="37">
        <f>E24*0.27</f>
        <v>0</v>
      </c>
    </row>
    <row r="28" spans="1:5" ht="14.25" x14ac:dyDescent="0.2">
      <c r="A28" s="121" t="s">
        <v>354</v>
      </c>
      <c r="B28" s="121"/>
      <c r="C28" s="62"/>
      <c r="D28" s="62"/>
      <c r="E28" s="62">
        <f>SUM(E24:E27)</f>
        <v>0</v>
      </c>
    </row>
    <row r="31" spans="1:5" ht="25.5" customHeight="1" x14ac:dyDescent="0.25">
      <c r="A31" s="36" t="s">
        <v>355</v>
      </c>
      <c r="B31" s="118"/>
      <c r="C31" s="118"/>
      <c r="D31" s="118"/>
      <c r="E31" s="118"/>
    </row>
    <row r="33" spans="1:5" ht="25.5" customHeight="1" x14ac:dyDescent="0.25">
      <c r="A33" s="36" t="s">
        <v>356</v>
      </c>
      <c r="B33" s="118"/>
      <c r="C33" s="118"/>
      <c r="D33" s="118"/>
      <c r="E33" s="118"/>
    </row>
    <row r="34" spans="1:5" x14ac:dyDescent="0.25">
      <c r="B34" s="64"/>
      <c r="C34" s="64"/>
      <c r="D34" s="64"/>
      <c r="E34" s="64"/>
    </row>
    <row r="35" spans="1:5" x14ac:dyDescent="0.25">
      <c r="A35" s="118"/>
      <c r="B35" s="118"/>
      <c r="C35" s="118"/>
      <c r="D35" s="118"/>
      <c r="E35" s="118"/>
    </row>
    <row r="36" spans="1:5" x14ac:dyDescent="0.25">
      <c r="A36" s="36" t="s">
        <v>357</v>
      </c>
      <c r="B36" s="118"/>
      <c r="C36" s="118"/>
      <c r="D36" s="118"/>
      <c r="E36" s="118"/>
    </row>
    <row r="37" spans="1:5" x14ac:dyDescent="0.25">
      <c r="B37" s="64"/>
      <c r="C37" s="64"/>
      <c r="D37" s="64"/>
      <c r="E37" s="64"/>
    </row>
    <row r="38" spans="1:5" x14ac:dyDescent="0.25">
      <c r="A38" s="118"/>
      <c r="B38" s="118"/>
      <c r="C38" s="118"/>
      <c r="D38" s="118"/>
      <c r="E38" s="118"/>
    </row>
    <row r="39" spans="1:5" x14ac:dyDescent="0.25">
      <c r="A39" s="64"/>
      <c r="B39" s="64"/>
      <c r="C39" s="64"/>
      <c r="D39" s="64"/>
      <c r="E39" s="64"/>
    </row>
    <row r="40" spans="1:5" x14ac:dyDescent="0.25">
      <c r="A40" s="64"/>
      <c r="B40" s="64"/>
      <c r="C40" s="64"/>
      <c r="D40" s="64"/>
      <c r="E40" s="64"/>
    </row>
    <row r="41" spans="1:5" customFormat="1" ht="13.5" x14ac:dyDescent="0.25">
      <c r="A41" s="36"/>
      <c r="B41" s="36"/>
      <c r="C41" s="37"/>
      <c r="D41" s="37"/>
      <c r="E41" s="36"/>
    </row>
    <row r="42" spans="1:5" customFormat="1" ht="13.5" x14ac:dyDescent="0.25">
      <c r="A42" s="36" t="s">
        <v>359</v>
      </c>
      <c r="B42" s="36"/>
      <c r="C42" s="37"/>
      <c r="D42" s="37"/>
      <c r="E42" s="36"/>
    </row>
    <row r="43" spans="1:5" customFormat="1" ht="13.5" x14ac:dyDescent="0.25">
      <c r="A43" s="36"/>
      <c r="B43" s="36"/>
      <c r="C43" s="37"/>
      <c r="D43" s="37"/>
      <c r="E43" s="36"/>
    </row>
    <row r="44" spans="1:5" customFormat="1" ht="13.5" x14ac:dyDescent="0.25">
      <c r="A44" s="36"/>
      <c r="B44" s="36"/>
      <c r="C44" s="37"/>
      <c r="D44" s="37"/>
      <c r="E44" s="36"/>
    </row>
    <row r="45" spans="1:5" customFormat="1" ht="13.5" x14ac:dyDescent="0.25">
      <c r="A45" s="36"/>
      <c r="B45" s="36"/>
      <c r="C45" s="37"/>
      <c r="D45" s="65"/>
      <c r="E45" s="36"/>
    </row>
    <row r="46" spans="1:5" customFormat="1" ht="13.5" x14ac:dyDescent="0.25">
      <c r="A46" s="36"/>
      <c r="B46" s="36"/>
      <c r="C46" s="37"/>
      <c r="D46" s="65" t="s">
        <v>360</v>
      </c>
      <c r="E46" s="36"/>
    </row>
  </sheetData>
  <mergeCells count="21">
    <mergeCell ref="A1:E1"/>
    <mergeCell ref="A2:E2"/>
    <mergeCell ref="A4:E4"/>
    <mergeCell ref="A5:B5"/>
    <mergeCell ref="A14:B14"/>
    <mergeCell ref="B36:E36"/>
    <mergeCell ref="A38:E38"/>
    <mergeCell ref="A7:B7"/>
    <mergeCell ref="A8:B8"/>
    <mergeCell ref="A9:B9"/>
    <mergeCell ref="A10:B10"/>
    <mergeCell ref="A11:B11"/>
    <mergeCell ref="A12:B12"/>
    <mergeCell ref="A13:B13"/>
    <mergeCell ref="A22:B22"/>
    <mergeCell ref="A24:B24"/>
    <mergeCell ref="A28:B28"/>
    <mergeCell ref="B31:E31"/>
    <mergeCell ref="B33:E33"/>
    <mergeCell ref="A35:E35"/>
    <mergeCell ref="A15:B15"/>
  </mergeCells>
  <pageMargins left="0.70866141732283472" right="0.70866141732283472" top="0.74803149606299213" bottom="0.74803149606299213" header="0.31496062992125984" footer="0.31496062992125984"/>
  <pageSetup paperSize="9" scale="98" fitToHeight="100" orientation="portrait" r:id="rId1"/>
  <headerFooter>
    <oddFooter>&amp;C&amp;P/&amp;N&amp;RAjánlattevő</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workbookViewId="0">
      <selection activeCell="I12" sqref="I12"/>
    </sheetView>
  </sheetViews>
  <sheetFormatPr defaultRowHeight="12.75" x14ac:dyDescent="0.2"/>
  <cols>
    <col min="1" max="1" width="4.7109375" style="7" customWidth="1"/>
    <col min="2" max="2" width="3.7109375" style="2" customWidth="1"/>
    <col min="3" max="3" width="12.7109375" style="2" customWidth="1"/>
    <col min="4" max="4" width="35.7109375" style="2" customWidth="1"/>
    <col min="5" max="6" width="9.140625" style="1"/>
    <col min="7" max="8" width="9.140625" style="3"/>
    <col min="9" max="10" width="9.140625" style="5"/>
    <col min="11" max="16384" width="9.140625" style="1"/>
  </cols>
  <sheetData>
    <row r="1" spans="1:11" ht="14.25" x14ac:dyDescent="0.2">
      <c r="A1" s="133" t="str">
        <f>Főösszesítő!A1</f>
        <v>BÉKÉSSÁMSON KÖZSÉG ÖNKORMÁNYZATA</v>
      </c>
      <c r="B1" s="133"/>
      <c r="C1" s="133"/>
      <c r="D1" s="133"/>
      <c r="E1" s="133"/>
      <c r="F1" s="133"/>
      <c r="G1" s="133"/>
      <c r="H1" s="133"/>
      <c r="I1" s="133"/>
      <c r="J1" s="133"/>
    </row>
    <row r="2" spans="1:11" ht="14.25" x14ac:dyDescent="0.2">
      <c r="A2" s="134" t="str">
        <f>Főösszesítő!A2</f>
        <v>5495 BÉKÉSSÁMSON, HŐSÖK TERE 10-12. - PH ENERGETIKAI FELÚJÍTÁSA</v>
      </c>
      <c r="B2" s="134"/>
      <c r="C2" s="134"/>
      <c r="D2" s="134"/>
      <c r="E2" s="134"/>
      <c r="F2" s="134"/>
      <c r="G2" s="134"/>
      <c r="H2" s="134"/>
      <c r="I2" s="134"/>
      <c r="J2" s="134"/>
    </row>
    <row r="3" spans="1:11" ht="15" x14ac:dyDescent="0.25">
      <c r="A3" s="67"/>
      <c r="B3" s="68"/>
      <c r="C3" s="69"/>
      <c r="D3" s="70"/>
      <c r="E3" s="71"/>
      <c r="F3" s="72"/>
      <c r="G3" s="72"/>
      <c r="H3" s="72"/>
      <c r="I3" s="72"/>
      <c r="J3" s="73"/>
    </row>
    <row r="4" spans="1:11" ht="15.75" x14ac:dyDescent="0.25">
      <c r="A4" s="135" t="s">
        <v>398</v>
      </c>
      <c r="B4" s="135"/>
      <c r="C4" s="135"/>
      <c r="D4" s="135"/>
      <c r="E4" s="135"/>
      <c r="F4" s="135"/>
      <c r="G4" s="135"/>
      <c r="H4" s="135"/>
      <c r="I4" s="135"/>
      <c r="J4" s="135"/>
    </row>
    <row r="5" spans="1:11" ht="25.5" x14ac:dyDescent="0.2">
      <c r="A5" s="74" t="s">
        <v>389</v>
      </c>
      <c r="B5" s="74"/>
      <c r="C5" s="75" t="s">
        <v>390</v>
      </c>
      <c r="D5" s="75" t="s">
        <v>391</v>
      </c>
      <c r="E5" s="76" t="s">
        <v>392</v>
      </c>
      <c r="F5" s="75" t="s">
        <v>393</v>
      </c>
      <c r="G5" s="77" t="s">
        <v>394</v>
      </c>
      <c r="H5" s="77" t="s">
        <v>395</v>
      </c>
      <c r="I5" s="78" t="s">
        <v>396</v>
      </c>
      <c r="J5" s="78" t="s">
        <v>397</v>
      </c>
    </row>
    <row r="6" spans="1:11" x14ac:dyDescent="0.2">
      <c r="A6" s="79"/>
      <c r="B6" s="79"/>
      <c r="C6" s="79"/>
      <c r="D6" s="79"/>
      <c r="E6" s="80"/>
      <c r="F6" s="80"/>
      <c r="G6" s="81"/>
      <c r="H6" s="81"/>
      <c r="I6" s="73"/>
      <c r="J6" s="73"/>
    </row>
    <row r="7" spans="1:11" ht="102" x14ac:dyDescent="0.2">
      <c r="A7" s="7">
        <v>1</v>
      </c>
      <c r="C7" s="2" t="s">
        <v>385</v>
      </c>
      <c r="D7" s="2" t="s">
        <v>384</v>
      </c>
      <c r="E7" s="3">
        <v>100</v>
      </c>
      <c r="F7" s="1" t="s">
        <v>11</v>
      </c>
      <c r="G7" s="3">
        <v>0</v>
      </c>
      <c r="H7" s="3">
        <v>0</v>
      </c>
      <c r="I7" s="5">
        <f t="shared" ref="I7:I12" si="0">E7*G7</f>
        <v>0</v>
      </c>
      <c r="J7" s="5">
        <f t="shared" ref="J7:J12" si="1">E7*H7</f>
        <v>0</v>
      </c>
    </row>
    <row r="8" spans="1:11" ht="114.75" x14ac:dyDescent="0.2">
      <c r="A8" s="7">
        <f>1+A7</f>
        <v>2</v>
      </c>
      <c r="C8" s="2" t="s">
        <v>381</v>
      </c>
      <c r="D8" s="2" t="s">
        <v>383</v>
      </c>
      <c r="E8" s="3">
        <v>50</v>
      </c>
      <c r="F8" s="1" t="s">
        <v>11</v>
      </c>
      <c r="G8" s="3">
        <v>0</v>
      </c>
      <c r="H8" s="3">
        <v>0</v>
      </c>
      <c r="I8" s="5">
        <f t="shared" si="0"/>
        <v>0</v>
      </c>
      <c r="J8" s="5">
        <f t="shared" si="1"/>
        <v>0</v>
      </c>
    </row>
    <row r="9" spans="1:11" ht="114.75" x14ac:dyDescent="0.2">
      <c r="A9" s="7">
        <f t="shared" ref="A9:A12" si="2">1+A8</f>
        <v>3</v>
      </c>
      <c r="B9" s="2" t="s">
        <v>111</v>
      </c>
      <c r="D9" s="2" t="s">
        <v>382</v>
      </c>
      <c r="E9" s="3">
        <v>100</v>
      </c>
      <c r="F9" s="1" t="s">
        <v>11</v>
      </c>
      <c r="G9" s="3">
        <v>0</v>
      </c>
      <c r="H9" s="3">
        <v>0</v>
      </c>
      <c r="I9" s="5">
        <f t="shared" si="0"/>
        <v>0</v>
      </c>
      <c r="J9" s="5">
        <f t="shared" si="1"/>
        <v>0</v>
      </c>
    </row>
    <row r="10" spans="1:11" ht="63.75" x14ac:dyDescent="0.2">
      <c r="A10" s="7">
        <f t="shared" si="2"/>
        <v>4</v>
      </c>
      <c r="B10" s="2" t="s">
        <v>111</v>
      </c>
      <c r="D10" s="2" t="s">
        <v>379</v>
      </c>
      <c r="E10" s="5">
        <v>10</v>
      </c>
      <c r="F10" s="1" t="s">
        <v>380</v>
      </c>
      <c r="G10" s="3">
        <v>0</v>
      </c>
      <c r="H10" s="3">
        <v>0</v>
      </c>
      <c r="I10" s="5">
        <f t="shared" si="0"/>
        <v>0</v>
      </c>
      <c r="J10" s="5">
        <f t="shared" si="1"/>
        <v>0</v>
      </c>
    </row>
    <row r="11" spans="1:11" ht="25.5" x14ac:dyDescent="0.2">
      <c r="A11" s="7">
        <f t="shared" si="2"/>
        <v>5</v>
      </c>
      <c r="B11" s="2" t="s">
        <v>111</v>
      </c>
      <c r="D11" s="2" t="s">
        <v>387</v>
      </c>
      <c r="E11" s="5">
        <v>1</v>
      </c>
      <c r="F11" s="1" t="s">
        <v>377</v>
      </c>
      <c r="G11" s="3">
        <v>0</v>
      </c>
      <c r="H11" s="3">
        <v>0</v>
      </c>
      <c r="I11" s="5">
        <f t="shared" si="0"/>
        <v>0</v>
      </c>
      <c r="J11" s="5">
        <f t="shared" si="1"/>
        <v>0</v>
      </c>
    </row>
    <row r="12" spans="1:11" ht="25.5" x14ac:dyDescent="0.2">
      <c r="A12" s="7">
        <f t="shared" si="2"/>
        <v>6</v>
      </c>
      <c r="B12" s="2" t="s">
        <v>111</v>
      </c>
      <c r="D12" s="2" t="s">
        <v>388</v>
      </c>
      <c r="E12" s="5">
        <v>1</v>
      </c>
      <c r="F12" s="1" t="s">
        <v>377</v>
      </c>
      <c r="G12" s="3">
        <v>0</v>
      </c>
      <c r="H12" s="3">
        <v>0</v>
      </c>
      <c r="I12" s="5">
        <f t="shared" si="0"/>
        <v>0</v>
      </c>
      <c r="J12" s="5">
        <f t="shared" si="1"/>
        <v>0</v>
      </c>
    </row>
    <row r="13" spans="1:11" s="5" customFormat="1" x14ac:dyDescent="0.2">
      <c r="A13" s="7"/>
      <c r="B13" s="2"/>
      <c r="C13" s="2"/>
      <c r="D13" s="2"/>
      <c r="E13" s="1"/>
      <c r="F13" s="1"/>
      <c r="G13" s="4"/>
      <c r="H13" s="4"/>
      <c r="K13" s="1"/>
    </row>
    <row r="14" spans="1:11" x14ac:dyDescent="0.2">
      <c r="A14" s="132" t="s">
        <v>283</v>
      </c>
      <c r="B14" s="132"/>
      <c r="C14" s="132"/>
      <c r="D14" s="132"/>
      <c r="E14" s="8"/>
      <c r="F14" s="8"/>
      <c r="G14" s="9"/>
      <c r="H14" s="9"/>
      <c r="I14" s="10">
        <f>SUM(I7:I13)</f>
        <v>0</v>
      </c>
      <c r="J14" s="10">
        <f>SUM(J7:J13)</f>
        <v>0</v>
      </c>
    </row>
    <row r="17" spans="1:10" ht="76.5" x14ac:dyDescent="0.2">
      <c r="A17" s="7">
        <v>1</v>
      </c>
      <c r="C17" s="2" t="s">
        <v>372</v>
      </c>
      <c r="D17" s="2" t="s">
        <v>371</v>
      </c>
      <c r="E17" s="5">
        <v>46</v>
      </c>
      <c r="F17" s="1" t="s">
        <v>35</v>
      </c>
      <c r="G17" s="3">
        <v>0</v>
      </c>
      <c r="H17" s="3">
        <v>0</v>
      </c>
      <c r="I17" s="5">
        <f>E17*G17</f>
        <v>0</v>
      </c>
      <c r="J17" s="5">
        <f>E17*H17</f>
        <v>0</v>
      </c>
    </row>
    <row r="18" spans="1:10" ht="76.5" x14ac:dyDescent="0.2">
      <c r="A18" s="7">
        <f>1+A17</f>
        <v>2</v>
      </c>
      <c r="C18" s="2" t="s">
        <v>374</v>
      </c>
      <c r="D18" s="2" t="s">
        <v>373</v>
      </c>
      <c r="E18" s="5">
        <v>1</v>
      </c>
      <c r="F18" s="1" t="s">
        <v>35</v>
      </c>
      <c r="G18" s="3">
        <v>0</v>
      </c>
      <c r="H18" s="3">
        <v>0</v>
      </c>
      <c r="I18" s="5">
        <f>E18*G18</f>
        <v>0</v>
      </c>
      <c r="J18" s="5">
        <f>E18*H18</f>
        <v>0</v>
      </c>
    </row>
    <row r="19" spans="1:10" ht="63.75" x14ac:dyDescent="0.2">
      <c r="A19" s="7">
        <f t="shared" ref="A19:A20" si="3">1+A18</f>
        <v>3</v>
      </c>
      <c r="C19" s="2" t="s">
        <v>376</v>
      </c>
      <c r="D19" s="2" t="s">
        <v>375</v>
      </c>
      <c r="E19" s="5">
        <v>1</v>
      </c>
      <c r="F19" s="1" t="s">
        <v>35</v>
      </c>
      <c r="G19" s="3">
        <v>0</v>
      </c>
      <c r="H19" s="3">
        <v>0</v>
      </c>
      <c r="I19" s="5">
        <f>E19*G19</f>
        <v>0</v>
      </c>
      <c r="J19" s="5">
        <f>E19*H19</f>
        <v>0</v>
      </c>
    </row>
    <row r="20" spans="1:10" ht="76.5" x14ac:dyDescent="0.2">
      <c r="A20" s="7">
        <f t="shared" si="3"/>
        <v>4</v>
      </c>
      <c r="B20" s="2" t="s">
        <v>111</v>
      </c>
      <c r="D20" s="2" t="s">
        <v>378</v>
      </c>
      <c r="E20" s="5">
        <v>1</v>
      </c>
      <c r="F20" s="1" t="s">
        <v>377</v>
      </c>
      <c r="G20" s="3">
        <v>0</v>
      </c>
      <c r="H20" s="3">
        <v>0</v>
      </c>
      <c r="I20" s="5">
        <f>E20*G20</f>
        <v>0</v>
      </c>
      <c r="J20" s="5">
        <f>E20*H20</f>
        <v>0</v>
      </c>
    </row>
    <row r="21" spans="1:10" x14ac:dyDescent="0.2">
      <c r="E21" s="5"/>
    </row>
    <row r="22" spans="1:10" x14ac:dyDescent="0.2">
      <c r="A22" s="132" t="s">
        <v>386</v>
      </c>
      <c r="B22" s="132"/>
      <c r="C22" s="132"/>
      <c r="D22" s="132"/>
      <c r="E22" s="8"/>
      <c r="F22" s="8"/>
      <c r="G22" s="9"/>
      <c r="H22" s="9"/>
      <c r="I22" s="10">
        <f>SUM(I17:I21)</f>
        <v>0</v>
      </c>
      <c r="J22" s="10">
        <f>SUM(J17:J21)</f>
        <v>0</v>
      </c>
    </row>
    <row r="23" spans="1:10" x14ac:dyDescent="0.2">
      <c r="E23" s="5"/>
    </row>
    <row r="24" spans="1:10" x14ac:dyDescent="0.2">
      <c r="E24" s="5"/>
    </row>
  </sheetData>
  <sortState ref="A15:L18">
    <sortCondition ref="C15:C18"/>
  </sortState>
  <mergeCells count="5">
    <mergeCell ref="A14:D14"/>
    <mergeCell ref="A22:D22"/>
    <mergeCell ref="A1:J1"/>
    <mergeCell ref="A2:J2"/>
    <mergeCell ref="A4:J4"/>
  </mergeCells>
  <pageMargins left="0.70866141732283472" right="0.70866141732283472" top="0.74803149606299213" bottom="0.74803149606299213" header="0.31496062992125984" footer="0.31496062992125984"/>
  <pageSetup paperSize="9" scale="79" fitToHeight="100" orientation="portrait" r:id="rId1"/>
  <headerFooter>
    <oddFooter>&amp;C&amp;P/&amp;N&amp;RAjánlattevő</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6"/>
  <sheetViews>
    <sheetView tabSelected="1" workbookViewId="0">
      <selection activeCell="I12" sqref="I12"/>
    </sheetView>
  </sheetViews>
  <sheetFormatPr defaultRowHeight="12.75" x14ac:dyDescent="0.25"/>
  <cols>
    <col min="1" max="1" width="5.7109375" style="36" customWidth="1"/>
    <col min="2" max="2" width="30.7109375" style="36" customWidth="1"/>
    <col min="3" max="4" width="20.7109375" style="37" customWidth="1"/>
    <col min="5" max="5" width="10.140625" style="36" customWidth="1"/>
    <col min="6" max="6" width="9.42578125" style="36" customWidth="1"/>
    <col min="7" max="7" width="9.42578125" style="37" bestFit="1" customWidth="1"/>
    <col min="8" max="256" width="9.140625" style="36"/>
    <col min="257" max="257" width="5.7109375" style="36" customWidth="1"/>
    <col min="258" max="258" width="30.7109375" style="36" customWidth="1"/>
    <col min="259" max="260" width="20.7109375" style="36" customWidth="1"/>
    <col min="261" max="261" width="10.140625" style="36" customWidth="1"/>
    <col min="262" max="262" width="9.42578125" style="36" customWidth="1"/>
    <col min="263" max="263" width="9.42578125" style="36" bestFit="1" customWidth="1"/>
    <col min="264" max="512" width="9.140625" style="36"/>
    <col min="513" max="513" width="5.7109375" style="36" customWidth="1"/>
    <col min="514" max="514" width="30.7109375" style="36" customWidth="1"/>
    <col min="515" max="516" width="20.7109375" style="36" customWidth="1"/>
    <col min="517" max="517" width="10.140625" style="36" customWidth="1"/>
    <col min="518" max="518" width="9.42578125" style="36" customWidth="1"/>
    <col min="519" max="519" width="9.42578125" style="36" bestFit="1" customWidth="1"/>
    <col min="520" max="768" width="9.140625" style="36"/>
    <col min="769" max="769" width="5.7109375" style="36" customWidth="1"/>
    <col min="770" max="770" width="30.7109375" style="36" customWidth="1"/>
    <col min="771" max="772" width="20.7109375" style="36" customWidth="1"/>
    <col min="773" max="773" width="10.140625" style="36" customWidth="1"/>
    <col min="774" max="774" width="9.42578125" style="36" customWidth="1"/>
    <col min="775" max="775" width="9.42578125" style="36" bestFit="1" customWidth="1"/>
    <col min="776" max="1024" width="9.140625" style="36"/>
    <col min="1025" max="1025" width="5.7109375" style="36" customWidth="1"/>
    <col min="1026" max="1026" width="30.7109375" style="36" customWidth="1"/>
    <col min="1027" max="1028" width="20.7109375" style="36" customWidth="1"/>
    <col min="1029" max="1029" width="10.140625" style="36" customWidth="1"/>
    <col min="1030" max="1030" width="9.42578125" style="36" customWidth="1"/>
    <col min="1031" max="1031" width="9.42578125" style="36" bestFit="1" customWidth="1"/>
    <col min="1032" max="1280" width="9.140625" style="36"/>
    <col min="1281" max="1281" width="5.7109375" style="36" customWidth="1"/>
    <col min="1282" max="1282" width="30.7109375" style="36" customWidth="1"/>
    <col min="1283" max="1284" width="20.7109375" style="36" customWidth="1"/>
    <col min="1285" max="1285" width="10.140625" style="36" customWidth="1"/>
    <col min="1286" max="1286" width="9.42578125" style="36" customWidth="1"/>
    <col min="1287" max="1287" width="9.42578125" style="36" bestFit="1" customWidth="1"/>
    <col min="1288" max="1536" width="9.140625" style="36"/>
    <col min="1537" max="1537" width="5.7109375" style="36" customWidth="1"/>
    <col min="1538" max="1538" width="30.7109375" style="36" customWidth="1"/>
    <col min="1539" max="1540" width="20.7109375" style="36" customWidth="1"/>
    <col min="1541" max="1541" width="10.140625" style="36" customWidth="1"/>
    <col min="1542" max="1542" width="9.42578125" style="36" customWidth="1"/>
    <col min="1543" max="1543" width="9.42578125" style="36" bestFit="1" customWidth="1"/>
    <col min="1544" max="1792" width="9.140625" style="36"/>
    <col min="1793" max="1793" width="5.7109375" style="36" customWidth="1"/>
    <col min="1794" max="1794" width="30.7109375" style="36" customWidth="1"/>
    <col min="1795" max="1796" width="20.7109375" style="36" customWidth="1"/>
    <col min="1797" max="1797" width="10.140625" style="36" customWidth="1"/>
    <col min="1798" max="1798" width="9.42578125" style="36" customWidth="1"/>
    <col min="1799" max="1799" width="9.42578125" style="36" bestFit="1" customWidth="1"/>
    <col min="1800" max="2048" width="9.140625" style="36"/>
    <col min="2049" max="2049" width="5.7109375" style="36" customWidth="1"/>
    <col min="2050" max="2050" width="30.7109375" style="36" customWidth="1"/>
    <col min="2051" max="2052" width="20.7109375" style="36" customWidth="1"/>
    <col min="2053" max="2053" width="10.140625" style="36" customWidth="1"/>
    <col min="2054" max="2054" width="9.42578125" style="36" customWidth="1"/>
    <col min="2055" max="2055" width="9.42578125" style="36" bestFit="1" customWidth="1"/>
    <col min="2056" max="2304" width="9.140625" style="36"/>
    <col min="2305" max="2305" width="5.7109375" style="36" customWidth="1"/>
    <col min="2306" max="2306" width="30.7109375" style="36" customWidth="1"/>
    <col min="2307" max="2308" width="20.7109375" style="36" customWidth="1"/>
    <col min="2309" max="2309" width="10.140625" style="36" customWidth="1"/>
    <col min="2310" max="2310" width="9.42578125" style="36" customWidth="1"/>
    <col min="2311" max="2311" width="9.42578125" style="36" bestFit="1" customWidth="1"/>
    <col min="2312" max="2560" width="9.140625" style="36"/>
    <col min="2561" max="2561" width="5.7109375" style="36" customWidth="1"/>
    <col min="2562" max="2562" width="30.7109375" style="36" customWidth="1"/>
    <col min="2563" max="2564" width="20.7109375" style="36" customWidth="1"/>
    <col min="2565" max="2565" width="10.140625" style="36" customWidth="1"/>
    <col min="2566" max="2566" width="9.42578125" style="36" customWidth="1"/>
    <col min="2567" max="2567" width="9.42578125" style="36" bestFit="1" customWidth="1"/>
    <col min="2568" max="2816" width="9.140625" style="36"/>
    <col min="2817" max="2817" width="5.7109375" style="36" customWidth="1"/>
    <col min="2818" max="2818" width="30.7109375" style="36" customWidth="1"/>
    <col min="2819" max="2820" width="20.7109375" style="36" customWidth="1"/>
    <col min="2821" max="2821" width="10.140625" style="36" customWidth="1"/>
    <col min="2822" max="2822" width="9.42578125" style="36" customWidth="1"/>
    <col min="2823" max="2823" width="9.42578125" style="36" bestFit="1" customWidth="1"/>
    <col min="2824" max="3072" width="9.140625" style="36"/>
    <col min="3073" max="3073" width="5.7109375" style="36" customWidth="1"/>
    <col min="3074" max="3074" width="30.7109375" style="36" customWidth="1"/>
    <col min="3075" max="3076" width="20.7109375" style="36" customWidth="1"/>
    <col min="3077" max="3077" width="10.140625" style="36" customWidth="1"/>
    <col min="3078" max="3078" width="9.42578125" style="36" customWidth="1"/>
    <col min="3079" max="3079" width="9.42578125" style="36" bestFit="1" customWidth="1"/>
    <col min="3080" max="3328" width="9.140625" style="36"/>
    <col min="3329" max="3329" width="5.7109375" style="36" customWidth="1"/>
    <col min="3330" max="3330" width="30.7109375" style="36" customWidth="1"/>
    <col min="3331" max="3332" width="20.7109375" style="36" customWidth="1"/>
    <col min="3333" max="3333" width="10.140625" style="36" customWidth="1"/>
    <col min="3334" max="3334" width="9.42578125" style="36" customWidth="1"/>
    <col min="3335" max="3335" width="9.42578125" style="36" bestFit="1" customWidth="1"/>
    <col min="3336" max="3584" width="9.140625" style="36"/>
    <col min="3585" max="3585" width="5.7109375" style="36" customWidth="1"/>
    <col min="3586" max="3586" width="30.7109375" style="36" customWidth="1"/>
    <col min="3587" max="3588" width="20.7109375" style="36" customWidth="1"/>
    <col min="3589" max="3589" width="10.140625" style="36" customWidth="1"/>
    <col min="3590" max="3590" width="9.42578125" style="36" customWidth="1"/>
    <col min="3591" max="3591" width="9.42578125" style="36" bestFit="1" customWidth="1"/>
    <col min="3592" max="3840" width="9.140625" style="36"/>
    <col min="3841" max="3841" width="5.7109375" style="36" customWidth="1"/>
    <col min="3842" max="3842" width="30.7109375" style="36" customWidth="1"/>
    <col min="3843" max="3844" width="20.7109375" style="36" customWidth="1"/>
    <col min="3845" max="3845" width="10.140625" style="36" customWidth="1"/>
    <col min="3846" max="3846" width="9.42578125" style="36" customWidth="1"/>
    <col min="3847" max="3847" width="9.42578125" style="36" bestFit="1" customWidth="1"/>
    <col min="3848" max="4096" width="9.140625" style="36"/>
    <col min="4097" max="4097" width="5.7109375" style="36" customWidth="1"/>
    <col min="4098" max="4098" width="30.7109375" style="36" customWidth="1"/>
    <col min="4099" max="4100" width="20.7109375" style="36" customWidth="1"/>
    <col min="4101" max="4101" width="10.140625" style="36" customWidth="1"/>
    <col min="4102" max="4102" width="9.42578125" style="36" customWidth="1"/>
    <col min="4103" max="4103" width="9.42578125" style="36" bestFit="1" customWidth="1"/>
    <col min="4104" max="4352" width="9.140625" style="36"/>
    <col min="4353" max="4353" width="5.7109375" style="36" customWidth="1"/>
    <col min="4354" max="4354" width="30.7109375" style="36" customWidth="1"/>
    <col min="4355" max="4356" width="20.7109375" style="36" customWidth="1"/>
    <col min="4357" max="4357" width="10.140625" style="36" customWidth="1"/>
    <col min="4358" max="4358" width="9.42578125" style="36" customWidth="1"/>
    <col min="4359" max="4359" width="9.42578125" style="36" bestFit="1" customWidth="1"/>
    <col min="4360" max="4608" width="9.140625" style="36"/>
    <col min="4609" max="4609" width="5.7109375" style="36" customWidth="1"/>
    <col min="4610" max="4610" width="30.7109375" style="36" customWidth="1"/>
    <col min="4611" max="4612" width="20.7109375" style="36" customWidth="1"/>
    <col min="4613" max="4613" width="10.140625" style="36" customWidth="1"/>
    <col min="4614" max="4614" width="9.42578125" style="36" customWidth="1"/>
    <col min="4615" max="4615" width="9.42578125" style="36" bestFit="1" customWidth="1"/>
    <col min="4616" max="4864" width="9.140625" style="36"/>
    <col min="4865" max="4865" width="5.7109375" style="36" customWidth="1"/>
    <col min="4866" max="4866" width="30.7109375" style="36" customWidth="1"/>
    <col min="4867" max="4868" width="20.7109375" style="36" customWidth="1"/>
    <col min="4869" max="4869" width="10.140625" style="36" customWidth="1"/>
    <col min="4870" max="4870" width="9.42578125" style="36" customWidth="1"/>
    <col min="4871" max="4871" width="9.42578125" style="36" bestFit="1" customWidth="1"/>
    <col min="4872" max="5120" width="9.140625" style="36"/>
    <col min="5121" max="5121" width="5.7109375" style="36" customWidth="1"/>
    <col min="5122" max="5122" width="30.7109375" style="36" customWidth="1"/>
    <col min="5123" max="5124" width="20.7109375" style="36" customWidth="1"/>
    <col min="5125" max="5125" width="10.140625" style="36" customWidth="1"/>
    <col min="5126" max="5126" width="9.42578125" style="36" customWidth="1"/>
    <col min="5127" max="5127" width="9.42578125" style="36" bestFit="1" customWidth="1"/>
    <col min="5128" max="5376" width="9.140625" style="36"/>
    <col min="5377" max="5377" width="5.7109375" style="36" customWidth="1"/>
    <col min="5378" max="5378" width="30.7109375" style="36" customWidth="1"/>
    <col min="5379" max="5380" width="20.7109375" style="36" customWidth="1"/>
    <col min="5381" max="5381" width="10.140625" style="36" customWidth="1"/>
    <col min="5382" max="5382" width="9.42578125" style="36" customWidth="1"/>
    <col min="5383" max="5383" width="9.42578125" style="36" bestFit="1" customWidth="1"/>
    <col min="5384" max="5632" width="9.140625" style="36"/>
    <col min="5633" max="5633" width="5.7109375" style="36" customWidth="1"/>
    <col min="5634" max="5634" width="30.7109375" style="36" customWidth="1"/>
    <col min="5635" max="5636" width="20.7109375" style="36" customWidth="1"/>
    <col min="5637" max="5637" width="10.140625" style="36" customWidth="1"/>
    <col min="5638" max="5638" width="9.42578125" style="36" customWidth="1"/>
    <col min="5639" max="5639" width="9.42578125" style="36" bestFit="1" customWidth="1"/>
    <col min="5640" max="5888" width="9.140625" style="36"/>
    <col min="5889" max="5889" width="5.7109375" style="36" customWidth="1"/>
    <col min="5890" max="5890" width="30.7109375" style="36" customWidth="1"/>
    <col min="5891" max="5892" width="20.7109375" style="36" customWidth="1"/>
    <col min="5893" max="5893" width="10.140625" style="36" customWidth="1"/>
    <col min="5894" max="5894" width="9.42578125" style="36" customWidth="1"/>
    <col min="5895" max="5895" width="9.42578125" style="36" bestFit="1" customWidth="1"/>
    <col min="5896" max="6144" width="9.140625" style="36"/>
    <col min="6145" max="6145" width="5.7109375" style="36" customWidth="1"/>
    <col min="6146" max="6146" width="30.7109375" style="36" customWidth="1"/>
    <col min="6147" max="6148" width="20.7109375" style="36" customWidth="1"/>
    <col min="6149" max="6149" width="10.140625" style="36" customWidth="1"/>
    <col min="6150" max="6150" width="9.42578125" style="36" customWidth="1"/>
    <col min="6151" max="6151" width="9.42578125" style="36" bestFit="1" customWidth="1"/>
    <col min="6152" max="6400" width="9.140625" style="36"/>
    <col min="6401" max="6401" width="5.7109375" style="36" customWidth="1"/>
    <col min="6402" max="6402" width="30.7109375" style="36" customWidth="1"/>
    <col min="6403" max="6404" width="20.7109375" style="36" customWidth="1"/>
    <col min="6405" max="6405" width="10.140625" style="36" customWidth="1"/>
    <col min="6406" max="6406" width="9.42578125" style="36" customWidth="1"/>
    <col min="6407" max="6407" width="9.42578125" style="36" bestFit="1" customWidth="1"/>
    <col min="6408" max="6656" width="9.140625" style="36"/>
    <col min="6657" max="6657" width="5.7109375" style="36" customWidth="1"/>
    <col min="6658" max="6658" width="30.7109375" style="36" customWidth="1"/>
    <col min="6659" max="6660" width="20.7109375" style="36" customWidth="1"/>
    <col min="6661" max="6661" width="10.140625" style="36" customWidth="1"/>
    <col min="6662" max="6662" width="9.42578125" style="36" customWidth="1"/>
    <col min="6663" max="6663" width="9.42578125" style="36" bestFit="1" customWidth="1"/>
    <col min="6664" max="6912" width="9.140625" style="36"/>
    <col min="6913" max="6913" width="5.7109375" style="36" customWidth="1"/>
    <col min="6914" max="6914" width="30.7109375" style="36" customWidth="1"/>
    <col min="6915" max="6916" width="20.7109375" style="36" customWidth="1"/>
    <col min="6917" max="6917" width="10.140625" style="36" customWidth="1"/>
    <col min="6918" max="6918" width="9.42578125" style="36" customWidth="1"/>
    <col min="6919" max="6919" width="9.42578125" style="36" bestFit="1" customWidth="1"/>
    <col min="6920" max="7168" width="9.140625" style="36"/>
    <col min="7169" max="7169" width="5.7109375" style="36" customWidth="1"/>
    <col min="7170" max="7170" width="30.7109375" style="36" customWidth="1"/>
    <col min="7171" max="7172" width="20.7109375" style="36" customWidth="1"/>
    <col min="7173" max="7173" width="10.140625" style="36" customWidth="1"/>
    <col min="7174" max="7174" width="9.42578125" style="36" customWidth="1"/>
    <col min="7175" max="7175" width="9.42578125" style="36" bestFit="1" customWidth="1"/>
    <col min="7176" max="7424" width="9.140625" style="36"/>
    <col min="7425" max="7425" width="5.7109375" style="36" customWidth="1"/>
    <col min="7426" max="7426" width="30.7109375" style="36" customWidth="1"/>
    <col min="7427" max="7428" width="20.7109375" style="36" customWidth="1"/>
    <col min="7429" max="7429" width="10.140625" style="36" customWidth="1"/>
    <col min="7430" max="7430" width="9.42578125" style="36" customWidth="1"/>
    <col min="7431" max="7431" width="9.42578125" style="36" bestFit="1" customWidth="1"/>
    <col min="7432" max="7680" width="9.140625" style="36"/>
    <col min="7681" max="7681" width="5.7109375" style="36" customWidth="1"/>
    <col min="7682" max="7682" width="30.7109375" style="36" customWidth="1"/>
    <col min="7683" max="7684" width="20.7109375" style="36" customWidth="1"/>
    <col min="7685" max="7685" width="10.140625" style="36" customWidth="1"/>
    <col min="7686" max="7686" width="9.42578125" style="36" customWidth="1"/>
    <col min="7687" max="7687" width="9.42578125" style="36" bestFit="1" customWidth="1"/>
    <col min="7688" max="7936" width="9.140625" style="36"/>
    <col min="7937" max="7937" width="5.7109375" style="36" customWidth="1"/>
    <col min="7938" max="7938" width="30.7109375" style="36" customWidth="1"/>
    <col min="7939" max="7940" width="20.7109375" style="36" customWidth="1"/>
    <col min="7941" max="7941" width="10.140625" style="36" customWidth="1"/>
    <col min="7942" max="7942" width="9.42578125" style="36" customWidth="1"/>
    <col min="7943" max="7943" width="9.42578125" style="36" bestFit="1" customWidth="1"/>
    <col min="7944" max="8192" width="9.140625" style="36"/>
    <col min="8193" max="8193" width="5.7109375" style="36" customWidth="1"/>
    <col min="8194" max="8194" width="30.7109375" style="36" customWidth="1"/>
    <col min="8195" max="8196" width="20.7109375" style="36" customWidth="1"/>
    <col min="8197" max="8197" width="10.140625" style="36" customWidth="1"/>
    <col min="8198" max="8198" width="9.42578125" style="36" customWidth="1"/>
    <col min="8199" max="8199" width="9.42578125" style="36" bestFit="1" customWidth="1"/>
    <col min="8200" max="8448" width="9.140625" style="36"/>
    <col min="8449" max="8449" width="5.7109375" style="36" customWidth="1"/>
    <col min="8450" max="8450" width="30.7109375" style="36" customWidth="1"/>
    <col min="8451" max="8452" width="20.7109375" style="36" customWidth="1"/>
    <col min="8453" max="8453" width="10.140625" style="36" customWidth="1"/>
    <col min="8454" max="8454" width="9.42578125" style="36" customWidth="1"/>
    <col min="8455" max="8455" width="9.42578125" style="36" bestFit="1" customWidth="1"/>
    <col min="8456" max="8704" width="9.140625" style="36"/>
    <col min="8705" max="8705" width="5.7109375" style="36" customWidth="1"/>
    <col min="8706" max="8706" width="30.7109375" style="36" customWidth="1"/>
    <col min="8707" max="8708" width="20.7109375" style="36" customWidth="1"/>
    <col min="8709" max="8709" width="10.140625" style="36" customWidth="1"/>
    <col min="8710" max="8710" width="9.42578125" style="36" customWidth="1"/>
    <col min="8711" max="8711" width="9.42578125" style="36" bestFit="1" customWidth="1"/>
    <col min="8712" max="8960" width="9.140625" style="36"/>
    <col min="8961" max="8961" width="5.7109375" style="36" customWidth="1"/>
    <col min="8962" max="8962" width="30.7109375" style="36" customWidth="1"/>
    <col min="8963" max="8964" width="20.7109375" style="36" customWidth="1"/>
    <col min="8965" max="8965" width="10.140625" style="36" customWidth="1"/>
    <col min="8966" max="8966" width="9.42578125" style="36" customWidth="1"/>
    <col min="8967" max="8967" width="9.42578125" style="36" bestFit="1" customWidth="1"/>
    <col min="8968" max="9216" width="9.140625" style="36"/>
    <col min="9217" max="9217" width="5.7109375" style="36" customWidth="1"/>
    <col min="9218" max="9218" width="30.7109375" style="36" customWidth="1"/>
    <col min="9219" max="9220" width="20.7109375" style="36" customWidth="1"/>
    <col min="9221" max="9221" width="10.140625" style="36" customWidth="1"/>
    <col min="9222" max="9222" width="9.42578125" style="36" customWidth="1"/>
    <col min="9223" max="9223" width="9.42578125" style="36" bestFit="1" customWidth="1"/>
    <col min="9224" max="9472" width="9.140625" style="36"/>
    <col min="9473" max="9473" width="5.7109375" style="36" customWidth="1"/>
    <col min="9474" max="9474" width="30.7109375" style="36" customWidth="1"/>
    <col min="9475" max="9476" width="20.7109375" style="36" customWidth="1"/>
    <col min="9477" max="9477" width="10.140625" style="36" customWidth="1"/>
    <col min="9478" max="9478" width="9.42578125" style="36" customWidth="1"/>
    <col min="9479" max="9479" width="9.42578125" style="36" bestFit="1" customWidth="1"/>
    <col min="9480" max="9728" width="9.140625" style="36"/>
    <col min="9729" max="9729" width="5.7109375" style="36" customWidth="1"/>
    <col min="9730" max="9730" width="30.7109375" style="36" customWidth="1"/>
    <col min="9731" max="9732" width="20.7109375" style="36" customWidth="1"/>
    <col min="9733" max="9733" width="10.140625" style="36" customWidth="1"/>
    <col min="9734" max="9734" width="9.42578125" style="36" customWidth="1"/>
    <col min="9735" max="9735" width="9.42578125" style="36" bestFit="1" customWidth="1"/>
    <col min="9736" max="9984" width="9.140625" style="36"/>
    <col min="9985" max="9985" width="5.7109375" style="36" customWidth="1"/>
    <col min="9986" max="9986" width="30.7109375" style="36" customWidth="1"/>
    <col min="9987" max="9988" width="20.7109375" style="36" customWidth="1"/>
    <col min="9989" max="9989" width="10.140625" style="36" customWidth="1"/>
    <col min="9990" max="9990" width="9.42578125" style="36" customWidth="1"/>
    <col min="9991" max="9991" width="9.42578125" style="36" bestFit="1" customWidth="1"/>
    <col min="9992" max="10240" width="9.140625" style="36"/>
    <col min="10241" max="10241" width="5.7109375" style="36" customWidth="1"/>
    <col min="10242" max="10242" width="30.7109375" style="36" customWidth="1"/>
    <col min="10243" max="10244" width="20.7109375" style="36" customWidth="1"/>
    <col min="10245" max="10245" width="10.140625" style="36" customWidth="1"/>
    <col min="10246" max="10246" width="9.42578125" style="36" customWidth="1"/>
    <col min="10247" max="10247" width="9.42578125" style="36" bestFit="1" customWidth="1"/>
    <col min="10248" max="10496" width="9.140625" style="36"/>
    <col min="10497" max="10497" width="5.7109375" style="36" customWidth="1"/>
    <col min="10498" max="10498" width="30.7109375" style="36" customWidth="1"/>
    <col min="10499" max="10500" width="20.7109375" style="36" customWidth="1"/>
    <col min="10501" max="10501" width="10.140625" style="36" customWidth="1"/>
    <col min="10502" max="10502" width="9.42578125" style="36" customWidth="1"/>
    <col min="10503" max="10503" width="9.42578125" style="36" bestFit="1" customWidth="1"/>
    <col min="10504" max="10752" width="9.140625" style="36"/>
    <col min="10753" max="10753" width="5.7109375" style="36" customWidth="1"/>
    <col min="10754" max="10754" width="30.7109375" style="36" customWidth="1"/>
    <col min="10755" max="10756" width="20.7109375" style="36" customWidth="1"/>
    <col min="10757" max="10757" width="10.140625" style="36" customWidth="1"/>
    <col min="10758" max="10758" width="9.42578125" style="36" customWidth="1"/>
    <col min="10759" max="10759" width="9.42578125" style="36" bestFit="1" customWidth="1"/>
    <col min="10760" max="11008" width="9.140625" style="36"/>
    <col min="11009" max="11009" width="5.7109375" style="36" customWidth="1"/>
    <col min="11010" max="11010" width="30.7109375" style="36" customWidth="1"/>
    <col min="11011" max="11012" width="20.7109375" style="36" customWidth="1"/>
    <col min="11013" max="11013" width="10.140625" style="36" customWidth="1"/>
    <col min="11014" max="11014" width="9.42578125" style="36" customWidth="1"/>
    <col min="11015" max="11015" width="9.42578125" style="36" bestFit="1" customWidth="1"/>
    <col min="11016" max="11264" width="9.140625" style="36"/>
    <col min="11265" max="11265" width="5.7109375" style="36" customWidth="1"/>
    <col min="11266" max="11266" width="30.7109375" style="36" customWidth="1"/>
    <col min="11267" max="11268" width="20.7109375" style="36" customWidth="1"/>
    <col min="11269" max="11269" width="10.140625" style="36" customWidth="1"/>
    <col min="11270" max="11270" width="9.42578125" style="36" customWidth="1"/>
    <col min="11271" max="11271" width="9.42578125" style="36" bestFit="1" customWidth="1"/>
    <col min="11272" max="11520" width="9.140625" style="36"/>
    <col min="11521" max="11521" width="5.7109375" style="36" customWidth="1"/>
    <col min="11522" max="11522" width="30.7109375" style="36" customWidth="1"/>
    <col min="11523" max="11524" width="20.7109375" style="36" customWidth="1"/>
    <col min="11525" max="11525" width="10.140625" style="36" customWidth="1"/>
    <col min="11526" max="11526" width="9.42578125" style="36" customWidth="1"/>
    <col min="11527" max="11527" width="9.42578125" style="36" bestFit="1" customWidth="1"/>
    <col min="11528" max="11776" width="9.140625" style="36"/>
    <col min="11777" max="11777" width="5.7109375" style="36" customWidth="1"/>
    <col min="11778" max="11778" width="30.7109375" style="36" customWidth="1"/>
    <col min="11779" max="11780" width="20.7109375" style="36" customWidth="1"/>
    <col min="11781" max="11781" width="10.140625" style="36" customWidth="1"/>
    <col min="11782" max="11782" width="9.42578125" style="36" customWidth="1"/>
    <col min="11783" max="11783" width="9.42578125" style="36" bestFit="1" customWidth="1"/>
    <col min="11784" max="12032" width="9.140625" style="36"/>
    <col min="12033" max="12033" width="5.7109375" style="36" customWidth="1"/>
    <col min="12034" max="12034" width="30.7109375" style="36" customWidth="1"/>
    <col min="12035" max="12036" width="20.7109375" style="36" customWidth="1"/>
    <col min="12037" max="12037" width="10.140625" style="36" customWidth="1"/>
    <col min="12038" max="12038" width="9.42578125" style="36" customWidth="1"/>
    <col min="12039" max="12039" width="9.42578125" style="36" bestFit="1" customWidth="1"/>
    <col min="12040" max="12288" width="9.140625" style="36"/>
    <col min="12289" max="12289" width="5.7109375" style="36" customWidth="1"/>
    <col min="12290" max="12290" width="30.7109375" style="36" customWidth="1"/>
    <col min="12291" max="12292" width="20.7109375" style="36" customWidth="1"/>
    <col min="12293" max="12293" width="10.140625" style="36" customWidth="1"/>
    <col min="12294" max="12294" width="9.42578125" style="36" customWidth="1"/>
    <col min="12295" max="12295" width="9.42578125" style="36" bestFit="1" customWidth="1"/>
    <col min="12296" max="12544" width="9.140625" style="36"/>
    <col min="12545" max="12545" width="5.7109375" style="36" customWidth="1"/>
    <col min="12546" max="12546" width="30.7109375" style="36" customWidth="1"/>
    <col min="12547" max="12548" width="20.7109375" style="36" customWidth="1"/>
    <col min="12549" max="12549" width="10.140625" style="36" customWidth="1"/>
    <col min="12550" max="12550" width="9.42578125" style="36" customWidth="1"/>
    <col min="12551" max="12551" width="9.42578125" style="36" bestFit="1" customWidth="1"/>
    <col min="12552" max="12800" width="9.140625" style="36"/>
    <col min="12801" max="12801" width="5.7109375" style="36" customWidth="1"/>
    <col min="12802" max="12802" width="30.7109375" style="36" customWidth="1"/>
    <col min="12803" max="12804" width="20.7109375" style="36" customWidth="1"/>
    <col min="12805" max="12805" width="10.140625" style="36" customWidth="1"/>
    <col min="12806" max="12806" width="9.42578125" style="36" customWidth="1"/>
    <col min="12807" max="12807" width="9.42578125" style="36" bestFit="1" customWidth="1"/>
    <col min="12808" max="13056" width="9.140625" style="36"/>
    <col min="13057" max="13057" width="5.7109375" style="36" customWidth="1"/>
    <col min="13058" max="13058" width="30.7109375" style="36" customWidth="1"/>
    <col min="13059" max="13060" width="20.7109375" style="36" customWidth="1"/>
    <col min="13061" max="13061" width="10.140625" style="36" customWidth="1"/>
    <col min="13062" max="13062" width="9.42578125" style="36" customWidth="1"/>
    <col min="13063" max="13063" width="9.42578125" style="36" bestFit="1" customWidth="1"/>
    <col min="13064" max="13312" width="9.140625" style="36"/>
    <col min="13313" max="13313" width="5.7109375" style="36" customWidth="1"/>
    <col min="13314" max="13314" width="30.7109375" style="36" customWidth="1"/>
    <col min="13315" max="13316" width="20.7109375" style="36" customWidth="1"/>
    <col min="13317" max="13317" width="10.140625" style="36" customWidth="1"/>
    <col min="13318" max="13318" width="9.42578125" style="36" customWidth="1"/>
    <col min="13319" max="13319" width="9.42578125" style="36" bestFit="1" customWidth="1"/>
    <col min="13320" max="13568" width="9.140625" style="36"/>
    <col min="13569" max="13569" width="5.7109375" style="36" customWidth="1"/>
    <col min="13570" max="13570" width="30.7109375" style="36" customWidth="1"/>
    <col min="13571" max="13572" width="20.7109375" style="36" customWidth="1"/>
    <col min="13573" max="13573" width="10.140625" style="36" customWidth="1"/>
    <col min="13574" max="13574" width="9.42578125" style="36" customWidth="1"/>
    <col min="13575" max="13575" width="9.42578125" style="36" bestFit="1" customWidth="1"/>
    <col min="13576" max="13824" width="9.140625" style="36"/>
    <col min="13825" max="13825" width="5.7109375" style="36" customWidth="1"/>
    <col min="13826" max="13826" width="30.7109375" style="36" customWidth="1"/>
    <col min="13827" max="13828" width="20.7109375" style="36" customWidth="1"/>
    <col min="13829" max="13829" width="10.140625" style="36" customWidth="1"/>
    <col min="13830" max="13830" width="9.42578125" style="36" customWidth="1"/>
    <col min="13831" max="13831" width="9.42578125" style="36" bestFit="1" customWidth="1"/>
    <col min="13832" max="14080" width="9.140625" style="36"/>
    <col min="14081" max="14081" width="5.7109375" style="36" customWidth="1"/>
    <col min="14082" max="14082" width="30.7109375" style="36" customWidth="1"/>
    <col min="14083" max="14084" width="20.7109375" style="36" customWidth="1"/>
    <col min="14085" max="14085" width="10.140625" style="36" customWidth="1"/>
    <col min="14086" max="14086" width="9.42578125" style="36" customWidth="1"/>
    <col min="14087" max="14087" width="9.42578125" style="36" bestFit="1" customWidth="1"/>
    <col min="14088" max="14336" width="9.140625" style="36"/>
    <col min="14337" max="14337" width="5.7109375" style="36" customWidth="1"/>
    <col min="14338" max="14338" width="30.7109375" style="36" customWidth="1"/>
    <col min="14339" max="14340" width="20.7109375" style="36" customWidth="1"/>
    <col min="14341" max="14341" width="10.140625" style="36" customWidth="1"/>
    <col min="14342" max="14342" width="9.42578125" style="36" customWidth="1"/>
    <col min="14343" max="14343" width="9.42578125" style="36" bestFit="1" customWidth="1"/>
    <col min="14344" max="14592" width="9.140625" style="36"/>
    <col min="14593" max="14593" width="5.7109375" style="36" customWidth="1"/>
    <col min="14594" max="14594" width="30.7109375" style="36" customWidth="1"/>
    <col min="14595" max="14596" width="20.7109375" style="36" customWidth="1"/>
    <col min="14597" max="14597" width="10.140625" style="36" customWidth="1"/>
    <col min="14598" max="14598" width="9.42578125" style="36" customWidth="1"/>
    <col min="14599" max="14599" width="9.42578125" style="36" bestFit="1" customWidth="1"/>
    <col min="14600" max="14848" width="9.140625" style="36"/>
    <col min="14849" max="14849" width="5.7109375" style="36" customWidth="1"/>
    <col min="14850" max="14850" width="30.7109375" style="36" customWidth="1"/>
    <col min="14851" max="14852" width="20.7109375" style="36" customWidth="1"/>
    <col min="14853" max="14853" width="10.140625" style="36" customWidth="1"/>
    <col min="14854" max="14854" width="9.42578125" style="36" customWidth="1"/>
    <col min="14855" max="14855" width="9.42578125" style="36" bestFit="1" customWidth="1"/>
    <col min="14856" max="15104" width="9.140625" style="36"/>
    <col min="15105" max="15105" width="5.7109375" style="36" customWidth="1"/>
    <col min="15106" max="15106" width="30.7109375" style="36" customWidth="1"/>
    <col min="15107" max="15108" width="20.7109375" style="36" customWidth="1"/>
    <col min="15109" max="15109" width="10.140625" style="36" customWidth="1"/>
    <col min="15110" max="15110" width="9.42578125" style="36" customWidth="1"/>
    <col min="15111" max="15111" width="9.42578125" style="36" bestFit="1" customWidth="1"/>
    <col min="15112" max="15360" width="9.140625" style="36"/>
    <col min="15361" max="15361" width="5.7109375" style="36" customWidth="1"/>
    <col min="15362" max="15362" width="30.7109375" style="36" customWidth="1"/>
    <col min="15363" max="15364" width="20.7109375" style="36" customWidth="1"/>
    <col min="15365" max="15365" width="10.140625" style="36" customWidth="1"/>
    <col min="15366" max="15366" width="9.42578125" style="36" customWidth="1"/>
    <col min="15367" max="15367" width="9.42578125" style="36" bestFit="1" customWidth="1"/>
    <col min="15368" max="15616" width="9.140625" style="36"/>
    <col min="15617" max="15617" width="5.7109375" style="36" customWidth="1"/>
    <col min="15618" max="15618" width="30.7109375" style="36" customWidth="1"/>
    <col min="15619" max="15620" width="20.7109375" style="36" customWidth="1"/>
    <col min="15621" max="15621" width="10.140625" style="36" customWidth="1"/>
    <col min="15622" max="15622" width="9.42578125" style="36" customWidth="1"/>
    <col min="15623" max="15623" width="9.42578125" style="36" bestFit="1" customWidth="1"/>
    <col min="15624" max="15872" width="9.140625" style="36"/>
    <col min="15873" max="15873" width="5.7109375" style="36" customWidth="1"/>
    <col min="15874" max="15874" width="30.7109375" style="36" customWidth="1"/>
    <col min="15875" max="15876" width="20.7109375" style="36" customWidth="1"/>
    <col min="15877" max="15877" width="10.140625" style="36" customWidth="1"/>
    <col min="15878" max="15878" width="9.42578125" style="36" customWidth="1"/>
    <col min="15879" max="15879" width="9.42578125" style="36" bestFit="1" customWidth="1"/>
    <col min="15880" max="16128" width="9.140625" style="36"/>
    <col min="16129" max="16129" width="5.7109375" style="36" customWidth="1"/>
    <col min="16130" max="16130" width="30.7109375" style="36" customWidth="1"/>
    <col min="16131" max="16132" width="20.7109375" style="36" customWidth="1"/>
    <col min="16133" max="16133" width="10.140625" style="36" customWidth="1"/>
    <col min="16134" max="16134" width="9.42578125" style="36" customWidth="1"/>
    <col min="16135" max="16135" width="9.42578125" style="36" bestFit="1" customWidth="1"/>
    <col min="16136" max="16384" width="9.140625" style="36"/>
  </cols>
  <sheetData>
    <row r="1" spans="1:13" s="15" customFormat="1" ht="14.25" x14ac:dyDescent="0.2">
      <c r="A1" s="129" t="str">
        <f>Főösszesítő!A1</f>
        <v>BÉKÉSSÁMSON KÖZSÉG ÖNKORMÁNYZATA</v>
      </c>
      <c r="B1" s="129"/>
      <c r="C1" s="129"/>
      <c r="D1" s="129"/>
      <c r="E1" s="129"/>
      <c r="F1" s="12"/>
      <c r="G1" s="13"/>
      <c r="H1" s="12"/>
      <c r="I1" s="12"/>
      <c r="J1" s="12"/>
      <c r="K1" s="12"/>
      <c r="L1" s="14"/>
      <c r="M1" s="14"/>
    </row>
    <row r="2" spans="1:13" s="15" customFormat="1" ht="14.25" x14ac:dyDescent="0.2">
      <c r="A2" s="130" t="str">
        <f>Főösszesítő!A2</f>
        <v>5495 BÉKÉSSÁMSON, HŐSÖK TERE 10-12. - PH ENERGETIKAI FELÚJÍTÁSA</v>
      </c>
      <c r="B2" s="130"/>
      <c r="C2" s="130"/>
      <c r="D2" s="130"/>
      <c r="E2" s="130"/>
      <c r="F2" s="16"/>
      <c r="G2" s="17"/>
      <c r="H2" s="16"/>
      <c r="I2" s="16"/>
      <c r="J2" s="16"/>
      <c r="K2" s="16"/>
      <c r="L2" s="14"/>
      <c r="M2" s="14"/>
    </row>
    <row r="3" spans="1:13" s="15" customFormat="1" ht="15" x14ac:dyDescent="0.25">
      <c r="A3" s="18"/>
      <c r="B3" s="19"/>
      <c r="C3" s="20"/>
      <c r="D3" s="21"/>
      <c r="E3" s="22"/>
      <c r="F3" s="23"/>
      <c r="G3" s="23"/>
      <c r="H3" s="23"/>
      <c r="I3" s="23"/>
      <c r="J3" s="23"/>
      <c r="K3" s="14"/>
      <c r="L3" s="14"/>
      <c r="M3" s="14"/>
    </row>
    <row r="4" spans="1:13" s="15" customFormat="1" ht="14.25" x14ac:dyDescent="0.2">
      <c r="A4" s="131" t="s">
        <v>340</v>
      </c>
      <c r="B4" s="131"/>
      <c r="C4" s="131"/>
      <c r="D4" s="131"/>
      <c r="E4" s="131"/>
      <c r="F4" s="24"/>
      <c r="G4" s="25"/>
      <c r="H4" s="24"/>
      <c r="I4" s="24"/>
      <c r="J4" s="24"/>
      <c r="K4" s="24"/>
      <c r="L4" s="14"/>
      <c r="M4" s="14"/>
    </row>
    <row r="5" spans="1:13" s="30" customFormat="1" x14ac:dyDescent="0.25">
      <c r="A5" s="127" t="s">
        <v>341</v>
      </c>
      <c r="B5" s="127"/>
      <c r="C5" s="26" t="s">
        <v>342</v>
      </c>
      <c r="D5" s="26" t="s">
        <v>343</v>
      </c>
      <c r="E5" s="27" t="s">
        <v>344</v>
      </c>
      <c r="F5" s="28"/>
      <c r="G5" s="29"/>
      <c r="H5" s="28"/>
      <c r="I5" s="28"/>
      <c r="J5" s="28"/>
      <c r="K5" s="28"/>
      <c r="L5" s="28"/>
      <c r="M5" s="28"/>
    </row>
    <row r="6" spans="1:13" s="30" customFormat="1" x14ac:dyDescent="0.25">
      <c r="A6" s="31"/>
      <c r="C6" s="32"/>
      <c r="D6" s="32"/>
      <c r="E6" s="33"/>
      <c r="F6" s="28"/>
      <c r="G6" s="29"/>
      <c r="H6" s="28"/>
      <c r="I6" s="28"/>
      <c r="J6" s="28"/>
      <c r="K6" s="28"/>
      <c r="L6" s="28"/>
      <c r="M6" s="28"/>
    </row>
    <row r="7" spans="1:13" x14ac:dyDescent="0.25">
      <c r="A7" s="128" t="str">
        <f>homlokzat!A11</f>
        <v>Zsaluzás és állványozás</v>
      </c>
      <c r="B7" s="128"/>
      <c r="C7" s="34">
        <f>homlokzat!I11</f>
        <v>0</v>
      </c>
      <c r="D7" s="34">
        <f>homlokzat!J11</f>
        <v>0</v>
      </c>
      <c r="E7" s="35">
        <f>SUM(C7:D7)</f>
        <v>0</v>
      </c>
      <c r="L7" s="38"/>
      <c r="M7" s="38"/>
    </row>
    <row r="8" spans="1:13" x14ac:dyDescent="0.25">
      <c r="A8" s="128" t="str">
        <f>homlokzat!A17</f>
        <v>Ácsmunka</v>
      </c>
      <c r="B8" s="128"/>
      <c r="C8" s="34">
        <f>homlokzat!I17</f>
        <v>0</v>
      </c>
      <c r="D8" s="34">
        <f>homlokzat!J17</f>
        <v>0</v>
      </c>
      <c r="E8" s="35">
        <f t="shared" ref="E8:E9" si="0">SUM(C8:D8)</f>
        <v>0</v>
      </c>
      <c r="L8" s="38"/>
      <c r="M8" s="38"/>
    </row>
    <row r="9" spans="1:13" x14ac:dyDescent="0.25">
      <c r="A9" s="128" t="str">
        <f>homlokzat!A36</f>
        <v>Vakolás</v>
      </c>
      <c r="B9" s="128"/>
      <c r="C9" s="34">
        <f>homlokzat!I36</f>
        <v>0</v>
      </c>
      <c r="D9" s="34">
        <f>homlokzat!J36</f>
        <v>0</v>
      </c>
      <c r="E9" s="35">
        <f t="shared" si="0"/>
        <v>0</v>
      </c>
      <c r="L9" s="38"/>
      <c r="M9" s="38"/>
    </row>
    <row r="10" spans="1:13" s="39" customFormat="1" x14ac:dyDescent="0.25">
      <c r="A10" s="128" t="str">
        <f>homlokzat!A51</f>
        <v>Szigetelés</v>
      </c>
      <c r="B10" s="128"/>
      <c r="C10" s="34">
        <f>homlokzat!I51</f>
        <v>0</v>
      </c>
      <c r="D10" s="34">
        <f>homlokzat!J51</f>
        <v>0</v>
      </c>
      <c r="E10" s="35">
        <f>SUM(C10:D10)</f>
        <v>0</v>
      </c>
      <c r="G10" s="40"/>
    </row>
    <row r="11" spans="1:13" s="30" customFormat="1" x14ac:dyDescent="0.25">
      <c r="A11" s="127" t="s">
        <v>366</v>
      </c>
      <c r="B11" s="127"/>
      <c r="C11" s="41">
        <f>SUM(C7:C10)</f>
        <v>0</v>
      </c>
      <c r="D11" s="41">
        <f>SUM(D7:D10)</f>
        <v>0</v>
      </c>
      <c r="E11" s="42">
        <f>SUM(C11:D11)</f>
        <v>0</v>
      </c>
      <c r="G11" s="43"/>
    </row>
    <row r="12" spans="1:13" s="30" customFormat="1" x14ac:dyDescent="0.25">
      <c r="A12" s="31"/>
      <c r="C12" s="32"/>
      <c r="D12" s="32"/>
      <c r="E12" s="33"/>
      <c r="F12" s="28"/>
      <c r="G12" s="29"/>
      <c r="H12" s="28"/>
      <c r="I12" s="28"/>
      <c r="J12" s="28"/>
      <c r="K12" s="28"/>
      <c r="L12" s="28"/>
      <c r="M12" s="28"/>
    </row>
    <row r="13" spans="1:13" x14ac:dyDescent="0.25">
      <c r="A13" s="128" t="str">
        <f>nyílászáró!A14</f>
        <v>Bontási munkák</v>
      </c>
      <c r="B13" s="128"/>
      <c r="C13" s="34">
        <f>nyílászáró!I14</f>
        <v>0</v>
      </c>
      <c r="D13" s="34">
        <f>nyílászáró!J14</f>
        <v>0</v>
      </c>
      <c r="E13" s="35">
        <f>SUM(C13:D13)</f>
        <v>0</v>
      </c>
      <c r="L13" s="38"/>
      <c r="M13" s="38"/>
    </row>
    <row r="14" spans="1:13" x14ac:dyDescent="0.25">
      <c r="A14" s="128" t="str">
        <f>nyílászáró!A42</f>
        <v>Homlokzati nyílászárók beépítése</v>
      </c>
      <c r="B14" s="128"/>
      <c r="C14" s="34">
        <f>nyílászáró!I42</f>
        <v>0</v>
      </c>
      <c r="D14" s="34">
        <f>nyílászáró!J42</f>
        <v>0</v>
      </c>
      <c r="E14" s="35">
        <f t="shared" ref="E14:E15" si="1">SUM(C14:D14)</f>
        <v>0</v>
      </c>
      <c r="L14" s="38"/>
      <c r="M14" s="38"/>
    </row>
    <row r="15" spans="1:13" x14ac:dyDescent="0.25">
      <c r="A15" s="128" t="str">
        <f>nyílászáró!A49</f>
        <v>Helyreállítási munkák</v>
      </c>
      <c r="B15" s="128"/>
      <c r="C15" s="34">
        <f>nyílászáró!I49</f>
        <v>0</v>
      </c>
      <c r="D15" s="34">
        <f>nyílászáró!J49</f>
        <v>0</v>
      </c>
      <c r="E15" s="35">
        <f t="shared" si="1"/>
        <v>0</v>
      </c>
      <c r="L15" s="38"/>
      <c r="M15" s="38"/>
    </row>
    <row r="16" spans="1:13" s="30" customFormat="1" x14ac:dyDescent="0.25">
      <c r="A16" s="127" t="s">
        <v>363</v>
      </c>
      <c r="B16" s="127"/>
      <c r="C16" s="41">
        <f>SUM(C13:C15)</f>
        <v>0</v>
      </c>
      <c r="D16" s="41">
        <f>SUM(D13:D15)</f>
        <v>0</v>
      </c>
      <c r="E16" s="42">
        <f>SUM(C16:D16)</f>
        <v>0</v>
      </c>
      <c r="G16" s="43"/>
    </row>
    <row r="17" spans="1:13" s="30" customFormat="1" x14ac:dyDescent="0.25">
      <c r="A17" s="31"/>
      <c r="C17" s="32"/>
      <c r="D17" s="32"/>
      <c r="E17" s="33"/>
      <c r="F17" s="28"/>
      <c r="G17" s="29"/>
      <c r="H17" s="28"/>
      <c r="I17" s="28"/>
      <c r="J17" s="28"/>
      <c r="K17" s="28"/>
      <c r="L17" s="28"/>
      <c r="M17" s="28"/>
    </row>
    <row r="18" spans="1:13" x14ac:dyDescent="0.25">
      <c r="A18" s="128" t="str">
        <f>padló!A12</f>
        <v>Bontási munkák</v>
      </c>
      <c r="B18" s="128"/>
      <c r="C18" s="34">
        <f>padló!I12</f>
        <v>0</v>
      </c>
      <c r="D18" s="34">
        <f>padló!J12</f>
        <v>0</v>
      </c>
      <c r="E18" s="35">
        <f>SUM(C18:D18)</f>
        <v>0</v>
      </c>
      <c r="L18" s="38"/>
      <c r="M18" s="38"/>
    </row>
    <row r="19" spans="1:13" x14ac:dyDescent="0.25">
      <c r="A19" s="128" t="str">
        <f>padló!A18</f>
        <v>Irtás, föld- és sziklamunka</v>
      </c>
      <c r="B19" s="128"/>
      <c r="C19" s="34">
        <f>padló!I18</f>
        <v>0</v>
      </c>
      <c r="D19" s="34">
        <f>padló!J18</f>
        <v>0</v>
      </c>
      <c r="E19" s="35">
        <f t="shared" ref="E19:E22" si="2">SUM(C19:D19)</f>
        <v>0</v>
      </c>
      <c r="L19" s="38"/>
      <c r="M19" s="38"/>
    </row>
    <row r="20" spans="1:13" x14ac:dyDescent="0.25">
      <c r="A20" s="128" t="str">
        <f>padló!A27</f>
        <v>Helyszíni beton és vasbeton munkák</v>
      </c>
      <c r="B20" s="128"/>
      <c r="C20" s="34">
        <f>padló!I27</f>
        <v>0</v>
      </c>
      <c r="D20" s="34">
        <f>padló!J27</f>
        <v>0</v>
      </c>
      <c r="E20" s="35">
        <f t="shared" si="2"/>
        <v>0</v>
      </c>
      <c r="L20" s="38"/>
      <c r="M20" s="38"/>
    </row>
    <row r="21" spans="1:13" x14ac:dyDescent="0.25">
      <c r="A21" s="128" t="str">
        <f>padló!A39</f>
        <v>Aljzatkészítés, hideg és melegburkolatok készítése</v>
      </c>
      <c r="B21" s="128"/>
      <c r="C21" s="34">
        <f>padló!I39</f>
        <v>0</v>
      </c>
      <c r="D21" s="34">
        <f>padló!J39</f>
        <v>0</v>
      </c>
      <c r="E21" s="35">
        <f t="shared" si="2"/>
        <v>0</v>
      </c>
      <c r="L21" s="38"/>
      <c r="M21" s="38"/>
    </row>
    <row r="22" spans="1:13" x14ac:dyDescent="0.25">
      <c r="A22" s="128" t="str">
        <f>padló!A51</f>
        <v>Szigetelés</v>
      </c>
      <c r="B22" s="128"/>
      <c r="C22" s="34">
        <f>padló!I51</f>
        <v>0</v>
      </c>
      <c r="D22" s="34">
        <f>padló!J51</f>
        <v>0</v>
      </c>
      <c r="E22" s="35">
        <f t="shared" si="2"/>
        <v>0</v>
      </c>
      <c r="L22" s="38"/>
      <c r="M22" s="38"/>
    </row>
    <row r="23" spans="1:13" s="30" customFormat="1" x14ac:dyDescent="0.25">
      <c r="A23" s="127" t="s">
        <v>367</v>
      </c>
      <c r="B23" s="127"/>
      <c r="C23" s="41">
        <f>SUM(C18:C22)</f>
        <v>0</v>
      </c>
      <c r="D23" s="41">
        <f>SUM(D18:D22)</f>
        <v>0</v>
      </c>
      <c r="E23" s="42">
        <f>SUM(C23:D23)</f>
        <v>0</v>
      </c>
      <c r="G23" s="43"/>
    </row>
    <row r="24" spans="1:13" s="30" customFormat="1" x14ac:dyDescent="0.25">
      <c r="A24" s="31"/>
      <c r="C24" s="32"/>
      <c r="D24" s="32"/>
      <c r="E24" s="33"/>
      <c r="F24" s="28"/>
      <c r="G24" s="29"/>
      <c r="H24" s="28"/>
      <c r="I24" s="28"/>
      <c r="J24" s="28"/>
      <c r="K24" s="28"/>
      <c r="L24" s="28"/>
      <c r="M24" s="28"/>
    </row>
    <row r="25" spans="1:13" x14ac:dyDescent="0.25">
      <c r="A25" s="128" t="str">
        <f>pince!A10</f>
        <v>Szigetelés</v>
      </c>
      <c r="B25" s="128"/>
      <c r="C25" s="34">
        <f>pince!I10</f>
        <v>0</v>
      </c>
      <c r="D25" s="34">
        <f>pince!J10</f>
        <v>0</v>
      </c>
      <c r="E25" s="35">
        <f>SUM(C25:D25)</f>
        <v>0</v>
      </c>
      <c r="L25" s="38"/>
      <c r="M25" s="38"/>
    </row>
    <row r="26" spans="1:13" s="30" customFormat="1" x14ac:dyDescent="0.25">
      <c r="A26" s="127" t="s">
        <v>364</v>
      </c>
      <c r="B26" s="127"/>
      <c r="C26" s="41">
        <f>SUM(C25:C25)</f>
        <v>0</v>
      </c>
      <c r="D26" s="41">
        <f>SUM(D25:D25)</f>
        <v>0</v>
      </c>
      <c r="E26" s="42">
        <f>SUM(C26:D26)</f>
        <v>0</v>
      </c>
      <c r="G26" s="43"/>
    </row>
    <row r="27" spans="1:13" s="30" customFormat="1" x14ac:dyDescent="0.25">
      <c r="A27" s="31"/>
      <c r="C27" s="32"/>
      <c r="D27" s="32"/>
      <c r="E27" s="33"/>
      <c r="F27" s="28"/>
      <c r="G27" s="29"/>
      <c r="H27" s="28"/>
      <c r="I27" s="28"/>
      <c r="J27" s="28"/>
      <c r="K27" s="28"/>
      <c r="L27" s="28"/>
      <c r="M27" s="28"/>
    </row>
    <row r="28" spans="1:13" x14ac:dyDescent="0.25">
      <c r="A28" s="128" t="str">
        <f>padlás!A14</f>
        <v>Ácsmunka</v>
      </c>
      <c r="B28" s="128"/>
      <c r="C28" s="34">
        <f>padlás!I14</f>
        <v>0</v>
      </c>
      <c r="D28" s="34">
        <f>padlás!J14</f>
        <v>0</v>
      </c>
      <c r="E28" s="35">
        <f>SUM(C28:D28)</f>
        <v>0</v>
      </c>
      <c r="L28" s="38"/>
      <c r="M28" s="38"/>
    </row>
    <row r="29" spans="1:13" x14ac:dyDescent="0.25">
      <c r="A29" s="128" t="str">
        <f>padlás!A22</f>
        <v>Szigetelés</v>
      </c>
      <c r="B29" s="128"/>
      <c r="C29" s="34">
        <f>padlás!I22</f>
        <v>0</v>
      </c>
      <c r="D29" s="34">
        <f>padlás!J22</f>
        <v>0</v>
      </c>
      <c r="E29" s="35">
        <f t="shared" ref="E29" si="3">SUM(C29:D29)</f>
        <v>0</v>
      </c>
      <c r="L29" s="38"/>
      <c r="M29" s="38"/>
    </row>
    <row r="30" spans="1:13" s="30" customFormat="1" x14ac:dyDescent="0.25">
      <c r="A30" s="127" t="s">
        <v>365</v>
      </c>
      <c r="B30" s="127"/>
      <c r="C30" s="41">
        <f>SUM(C28:C29)</f>
        <v>0</v>
      </c>
      <c r="D30" s="41">
        <f>SUM(D28:D29)</f>
        <v>0</v>
      </c>
      <c r="E30" s="42">
        <f>SUM(C30:D30)</f>
        <v>0</v>
      </c>
      <c r="G30" s="43"/>
    </row>
    <row r="31" spans="1:13" s="30" customFormat="1" x14ac:dyDescent="0.25">
      <c r="A31" s="31"/>
      <c r="C31" s="32"/>
      <c r="D31" s="32"/>
      <c r="E31" s="33"/>
      <c r="F31" s="28"/>
      <c r="G31" s="29"/>
      <c r="H31" s="28"/>
      <c r="I31" s="28"/>
      <c r="J31" s="28"/>
      <c r="K31" s="28"/>
      <c r="L31" s="28"/>
      <c r="M31" s="28"/>
    </row>
    <row r="32" spans="1:13" x14ac:dyDescent="0.25">
      <c r="A32" s="128" t="str">
        <f>akadálymentesítés!A10</f>
        <v>Bontási munkák</v>
      </c>
      <c r="B32" s="128"/>
      <c r="C32" s="34">
        <f>akadálymentesítés!I10</f>
        <v>0</v>
      </c>
      <c r="D32" s="34">
        <f>akadálymentesítés!J10</f>
        <v>0</v>
      </c>
      <c r="E32" s="35">
        <f>SUM(C32:D32)</f>
        <v>0</v>
      </c>
      <c r="L32" s="38"/>
      <c r="M32" s="38"/>
    </row>
    <row r="33" spans="1:13" x14ac:dyDescent="0.25">
      <c r="A33" s="128" t="str">
        <f>akadálymentesítés!A28</f>
        <v>Kőműves munkák</v>
      </c>
      <c r="B33" s="128"/>
      <c r="C33" s="34">
        <f>akadálymentesítés!I28</f>
        <v>0</v>
      </c>
      <c r="D33" s="34">
        <f>akadálymentesítés!J28</f>
        <v>0</v>
      </c>
      <c r="E33" s="35">
        <f>SUM(C33:D33)</f>
        <v>0</v>
      </c>
      <c r="L33" s="38"/>
      <c r="M33" s="38"/>
    </row>
    <row r="34" spans="1:13" x14ac:dyDescent="0.25">
      <c r="A34" s="128" t="str">
        <f>akadálymentesítés!A35</f>
        <v>Szárazépítés</v>
      </c>
      <c r="B34" s="128"/>
      <c r="C34" s="34">
        <f>akadálymentesítés!I35</f>
        <v>0</v>
      </c>
      <c r="D34" s="34">
        <f>akadálymentesítés!J35</f>
        <v>0</v>
      </c>
      <c r="E34" s="35">
        <f t="shared" ref="E34:E45" si="4">SUM(C34:D34)</f>
        <v>0</v>
      </c>
      <c r="L34" s="38"/>
      <c r="M34" s="38"/>
    </row>
    <row r="35" spans="1:13" x14ac:dyDescent="0.25">
      <c r="A35" s="128" t="str">
        <f>akadálymentesítés!A42</f>
        <v>Aljzatkészítés, hideg és melegburkolatok készítése</v>
      </c>
      <c r="B35" s="128"/>
      <c r="C35" s="34">
        <f>akadálymentesítés!I42</f>
        <v>0</v>
      </c>
      <c r="D35" s="34">
        <f>akadálymentesítés!J42</f>
        <v>0</v>
      </c>
      <c r="E35" s="35">
        <f t="shared" si="4"/>
        <v>0</v>
      </c>
      <c r="L35" s="38"/>
      <c r="M35" s="38"/>
    </row>
    <row r="36" spans="1:13" x14ac:dyDescent="0.25">
      <c r="A36" s="128" t="str">
        <f>akadálymentesítés!A60</f>
        <v>Belső nyílászárók elhelyezése</v>
      </c>
      <c r="B36" s="128"/>
      <c r="C36" s="34">
        <f>akadálymentesítés!I60</f>
        <v>0</v>
      </c>
      <c r="D36" s="34">
        <f>akadálymentesítés!J60</f>
        <v>0</v>
      </c>
      <c r="E36" s="35">
        <f t="shared" si="4"/>
        <v>0</v>
      </c>
      <c r="L36" s="38"/>
      <c r="M36" s="38"/>
    </row>
    <row r="37" spans="1:13" x14ac:dyDescent="0.25">
      <c r="A37" s="128" t="str">
        <f>akadálymentesítés!A70</f>
        <v>Felirati rendszerek elhelyezése</v>
      </c>
      <c r="B37" s="128"/>
      <c r="C37" s="34">
        <f>akadálymentesítés!I70</f>
        <v>0</v>
      </c>
      <c r="D37" s="34">
        <f>akadálymentesítés!J70</f>
        <v>0</v>
      </c>
      <c r="E37" s="35">
        <f t="shared" si="4"/>
        <v>0</v>
      </c>
      <c r="L37" s="38"/>
      <c r="M37" s="38"/>
    </row>
    <row r="38" spans="1:13" x14ac:dyDescent="0.25">
      <c r="A38" s="128" t="str">
        <f>akadálymentesítés!A81</f>
        <v>Felületképzés</v>
      </c>
      <c r="B38" s="128"/>
      <c r="C38" s="34">
        <f>akadálymentesítés!I81</f>
        <v>0</v>
      </c>
      <c r="D38" s="34">
        <f>akadálymentesítés!J81</f>
        <v>0</v>
      </c>
      <c r="E38" s="35">
        <f t="shared" si="4"/>
        <v>0</v>
      </c>
      <c r="L38" s="38"/>
      <c r="M38" s="38"/>
    </row>
    <row r="39" spans="1:13" x14ac:dyDescent="0.25">
      <c r="A39" s="128" t="str">
        <f>akadálymentesítés!A129</f>
        <v>Elektromos energiaellátás, villanyszerelés</v>
      </c>
      <c r="B39" s="128"/>
      <c r="C39" s="34">
        <f>akadálymentesítés!I129</f>
        <v>0</v>
      </c>
      <c r="D39" s="34">
        <f>akadálymentesítés!J129</f>
        <v>0</v>
      </c>
      <c r="E39" s="35">
        <f t="shared" si="4"/>
        <v>0</v>
      </c>
      <c r="L39" s="38"/>
      <c r="M39" s="38"/>
    </row>
    <row r="40" spans="1:13" x14ac:dyDescent="0.25">
      <c r="A40" s="128" t="str">
        <f>akadálymentesítés!A138</f>
        <v>Épületautomatika, -felügyelet (gyengeáram)</v>
      </c>
      <c r="B40" s="128"/>
      <c r="C40" s="34">
        <f>akadálymentesítés!I138</f>
        <v>0</v>
      </c>
      <c r="D40" s="34">
        <f>akadálymentesítés!J138</f>
        <v>0</v>
      </c>
      <c r="E40" s="35">
        <f t="shared" si="4"/>
        <v>0</v>
      </c>
      <c r="L40" s="38"/>
      <c r="M40" s="38"/>
    </row>
    <row r="41" spans="1:13" x14ac:dyDescent="0.25">
      <c r="A41" s="128" t="str">
        <f>akadálymentesítés!A157</f>
        <v>Bejárat kialakítása</v>
      </c>
      <c r="B41" s="128"/>
      <c r="C41" s="34">
        <f>akadálymentesítés!I157</f>
        <v>0</v>
      </c>
      <c r="D41" s="34">
        <f>akadálymentesítés!J157</f>
        <v>0</v>
      </c>
      <c r="E41" s="35">
        <f t="shared" si="4"/>
        <v>0</v>
      </c>
      <c r="L41" s="38"/>
      <c r="M41" s="38"/>
    </row>
    <row r="42" spans="1:13" x14ac:dyDescent="0.25">
      <c r="A42" s="128" t="str">
        <f>akadálymentesítés!A163</f>
        <v>Épületgépészeti bontási munkák</v>
      </c>
      <c r="B42" s="128"/>
      <c r="C42" s="34">
        <f>akadálymentesítés!I163</f>
        <v>0</v>
      </c>
      <c r="D42" s="34">
        <f>akadálymentesítés!J163</f>
        <v>0</v>
      </c>
      <c r="E42" s="35">
        <f t="shared" si="4"/>
        <v>0</v>
      </c>
      <c r="L42" s="38"/>
      <c r="M42" s="38"/>
    </row>
    <row r="43" spans="1:13" x14ac:dyDescent="0.25">
      <c r="A43" s="128" t="str">
        <f>akadálymentesítés!A169</f>
        <v>Általános épületgépészeti szerelés</v>
      </c>
      <c r="B43" s="128"/>
      <c r="C43" s="34">
        <f>akadálymentesítés!I169</f>
        <v>0</v>
      </c>
      <c r="D43" s="34">
        <f>akadálymentesítés!J169</f>
        <v>0</v>
      </c>
      <c r="E43" s="35">
        <f t="shared" si="4"/>
        <v>0</v>
      </c>
      <c r="L43" s="38"/>
      <c r="M43" s="38"/>
    </row>
    <row r="44" spans="1:13" x14ac:dyDescent="0.25">
      <c r="A44" s="128" t="str">
        <f>akadálymentesítés!A179</f>
        <v>Épületgépészeti csővezeték szerelése</v>
      </c>
      <c r="B44" s="128"/>
      <c r="C44" s="34">
        <f>akadálymentesítés!I179</f>
        <v>0</v>
      </c>
      <c r="D44" s="34">
        <f>akadálymentesítés!J179</f>
        <v>0</v>
      </c>
      <c r="E44" s="35">
        <f t="shared" si="4"/>
        <v>0</v>
      </c>
      <c r="L44" s="38"/>
      <c r="M44" s="38"/>
    </row>
    <row r="45" spans="1:13" x14ac:dyDescent="0.25">
      <c r="A45" s="128" t="str">
        <f>akadálymentesítés!A210</f>
        <v>Épületgépészeti szerelvények és berendezések szerelése</v>
      </c>
      <c r="B45" s="128"/>
      <c r="C45" s="34">
        <f>akadálymentesítés!I210</f>
        <v>0</v>
      </c>
      <c r="D45" s="34">
        <f>akadálymentesítés!J210</f>
        <v>0</v>
      </c>
      <c r="E45" s="35">
        <f t="shared" si="4"/>
        <v>0</v>
      </c>
      <c r="L45" s="38"/>
      <c r="M45" s="38"/>
    </row>
    <row r="46" spans="1:13" s="30" customFormat="1" x14ac:dyDescent="0.25">
      <c r="A46" s="127" t="s">
        <v>368</v>
      </c>
      <c r="B46" s="127"/>
      <c r="C46" s="41">
        <f>SUM(C32:C45)</f>
        <v>0</v>
      </c>
      <c r="D46" s="41">
        <f>SUM(D32:D45)</f>
        <v>0</v>
      </c>
      <c r="E46" s="42">
        <f>SUM(C46:D46)</f>
        <v>0</v>
      </c>
      <c r="G46" s="43"/>
    </row>
    <row r="47" spans="1:13" s="30" customFormat="1" x14ac:dyDescent="0.25">
      <c r="A47" s="31"/>
      <c r="C47" s="32"/>
      <c r="D47" s="32"/>
      <c r="E47" s="33"/>
      <c r="F47" s="28"/>
      <c r="G47" s="29"/>
      <c r="H47" s="28"/>
      <c r="I47" s="28"/>
      <c r="J47" s="28"/>
      <c r="K47" s="28"/>
      <c r="L47" s="28"/>
      <c r="M47" s="28"/>
    </row>
    <row r="48" spans="1:13" x14ac:dyDescent="0.25">
      <c r="A48" s="128" t="str">
        <f>fűtés!A10</f>
        <v>Bontási munkák</v>
      </c>
      <c r="B48" s="128"/>
      <c r="C48" s="34">
        <f>fűtés!I10</f>
        <v>0</v>
      </c>
      <c r="D48" s="34">
        <f>fűtés!J10</f>
        <v>0</v>
      </c>
      <c r="E48" s="35">
        <f>SUM(C48:D48)</f>
        <v>0</v>
      </c>
      <c r="L48" s="38"/>
      <c r="M48" s="38"/>
    </row>
    <row r="49" spans="1:13" x14ac:dyDescent="0.25">
      <c r="A49" s="128" t="str">
        <f>fűtés!A16</f>
        <v>Általános épületgépészeti szerelés</v>
      </c>
      <c r="B49" s="128"/>
      <c r="C49" s="34">
        <f>fűtés!I16</f>
        <v>0</v>
      </c>
      <c r="D49" s="34">
        <f>fűtés!J16</f>
        <v>0</v>
      </c>
      <c r="E49" s="35">
        <f>SUM(C49:D49)</f>
        <v>0</v>
      </c>
      <c r="L49" s="38"/>
      <c r="M49" s="38"/>
    </row>
    <row r="50" spans="1:13" x14ac:dyDescent="0.25">
      <c r="A50" s="128" t="str">
        <f>fűtés!A26</f>
        <v>Épületgépészeti csővezeték szerelése</v>
      </c>
      <c r="B50" s="128"/>
      <c r="C50" s="34">
        <f>fűtés!I26</f>
        <v>0</v>
      </c>
      <c r="D50" s="34">
        <f>fűtés!J26</f>
        <v>0</v>
      </c>
      <c r="E50" s="35">
        <f>SUM(C50:D50)</f>
        <v>0</v>
      </c>
      <c r="L50" s="38"/>
      <c r="M50" s="38"/>
    </row>
    <row r="51" spans="1:13" x14ac:dyDescent="0.25">
      <c r="A51" s="128" t="str">
        <f>fűtés!A65</f>
        <v>Épületgépészeti szerelvények és berendezések szerelése</v>
      </c>
      <c r="B51" s="128"/>
      <c r="C51" s="34">
        <f>fűtés!I65</f>
        <v>0</v>
      </c>
      <c r="D51" s="34">
        <f>fűtés!J65</f>
        <v>0</v>
      </c>
      <c r="E51" s="35">
        <f t="shared" ref="E51" si="5">SUM(C51:D51)</f>
        <v>0</v>
      </c>
      <c r="L51" s="38"/>
      <c r="M51" s="38"/>
    </row>
    <row r="52" spans="1:13" s="30" customFormat="1" x14ac:dyDescent="0.25">
      <c r="A52" s="127" t="s">
        <v>369</v>
      </c>
      <c r="B52" s="127"/>
      <c r="C52" s="41">
        <f>SUM(C48:C51)</f>
        <v>0</v>
      </c>
      <c r="D52" s="41">
        <f>SUM(D48:D51)</f>
        <v>0</v>
      </c>
      <c r="E52" s="42">
        <f>SUM(C52:D52)</f>
        <v>0</v>
      </c>
      <c r="G52" s="43"/>
    </row>
    <row r="53" spans="1:13" s="30" customFormat="1" x14ac:dyDescent="0.25">
      <c r="A53" s="31"/>
      <c r="C53" s="32"/>
      <c r="D53" s="32"/>
      <c r="E53" s="33"/>
      <c r="F53" s="28"/>
      <c r="G53" s="29"/>
      <c r="H53" s="28"/>
      <c r="I53" s="28"/>
      <c r="J53" s="28"/>
      <c r="K53" s="28"/>
      <c r="L53" s="28"/>
      <c r="M53" s="28"/>
    </row>
    <row r="54" spans="1:13" x14ac:dyDescent="0.25">
      <c r="A54" s="128" t="str">
        <f>HKME!A14</f>
        <v>Elektromos energiaellátás, villanyszerelés</v>
      </c>
      <c r="B54" s="128"/>
      <c r="C54" s="34">
        <f>HKME!I14</f>
        <v>0</v>
      </c>
      <c r="D54" s="34">
        <f>HKME!J14</f>
        <v>0</v>
      </c>
      <c r="E54" s="35">
        <f>SUM(C54:D54)</f>
        <v>0</v>
      </c>
      <c r="L54" s="38"/>
      <c r="M54" s="38"/>
    </row>
    <row r="55" spans="1:13" x14ac:dyDescent="0.25">
      <c r="A55" s="128" t="str">
        <f>HKME!A22</f>
        <v>Megújuló energiahasznosító berendezések</v>
      </c>
      <c r="B55" s="128"/>
      <c r="C55" s="34">
        <f>HKME!I22</f>
        <v>0</v>
      </c>
      <c r="D55" s="34">
        <f>HKME!J22</f>
        <v>0</v>
      </c>
      <c r="E55" s="35">
        <f t="shared" ref="E55" si="6">SUM(C55:D55)</f>
        <v>0</v>
      </c>
      <c r="L55" s="38"/>
      <c r="M55" s="38"/>
    </row>
    <row r="56" spans="1:13" s="30" customFormat="1" x14ac:dyDescent="0.25">
      <c r="A56" s="127" t="s">
        <v>370</v>
      </c>
      <c r="B56" s="127"/>
      <c r="C56" s="41">
        <f>SUM(C54:C55)</f>
        <v>0</v>
      </c>
      <c r="D56" s="41">
        <f>SUM(D54:D55)</f>
        <v>0</v>
      </c>
      <c r="E56" s="42">
        <f>SUM(C56:D56)</f>
        <v>0</v>
      </c>
      <c r="G56" s="43"/>
    </row>
  </sheetData>
  <mergeCells count="47">
    <mergeCell ref="A15:B15"/>
    <mergeCell ref="A1:E1"/>
    <mergeCell ref="A2:E2"/>
    <mergeCell ref="A4:E4"/>
    <mergeCell ref="A5:B5"/>
    <mergeCell ref="A7:B7"/>
    <mergeCell ref="A10:B10"/>
    <mergeCell ref="A11:B11"/>
    <mergeCell ref="A8:B8"/>
    <mergeCell ref="A9:B9"/>
    <mergeCell ref="A13:B13"/>
    <mergeCell ref="A14:B14"/>
    <mergeCell ref="A28:B28"/>
    <mergeCell ref="A29:B29"/>
    <mergeCell ref="A26:B26"/>
    <mergeCell ref="A16:B16"/>
    <mergeCell ref="A18:B18"/>
    <mergeCell ref="A19:B19"/>
    <mergeCell ref="A25:B25"/>
    <mergeCell ref="A23:B23"/>
    <mergeCell ref="A20:B20"/>
    <mergeCell ref="A21:B21"/>
    <mergeCell ref="A22:B22"/>
    <mergeCell ref="A30:B30"/>
    <mergeCell ref="A34:B34"/>
    <mergeCell ref="A35:B35"/>
    <mergeCell ref="A36:B36"/>
    <mergeCell ref="A55:B55"/>
    <mergeCell ref="A42:B42"/>
    <mergeCell ref="A43:B43"/>
    <mergeCell ref="A44:B44"/>
    <mergeCell ref="A32:B32"/>
    <mergeCell ref="A37:B37"/>
    <mergeCell ref="A38:B38"/>
    <mergeCell ref="A39:B39"/>
    <mergeCell ref="A40:B40"/>
    <mergeCell ref="A41:B41"/>
    <mergeCell ref="A33:B33"/>
    <mergeCell ref="A56:B56"/>
    <mergeCell ref="A49:B49"/>
    <mergeCell ref="A48:B48"/>
    <mergeCell ref="A45:B45"/>
    <mergeCell ref="A46:B46"/>
    <mergeCell ref="A50:B50"/>
    <mergeCell ref="A51:B51"/>
    <mergeCell ref="A52:B52"/>
    <mergeCell ref="A54:B54"/>
  </mergeCells>
  <pageMargins left="0.70866141732283472" right="0.70866141732283472" top="0.74803149606299213" bottom="0.74803149606299213" header="0.31496062992125984" footer="0.31496062992125984"/>
  <pageSetup paperSize="9" fitToHeight="100" orientation="portrait" r:id="rId1"/>
  <headerFooter>
    <oddFooter>&amp;C&amp;P/&amp;N&amp;RAjánlattevő</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tabSelected="1" workbookViewId="0">
      <selection activeCell="I12" sqref="I12"/>
    </sheetView>
  </sheetViews>
  <sheetFormatPr defaultRowHeight="12.75" x14ac:dyDescent="0.2"/>
  <cols>
    <col min="1" max="1" width="4.7109375" style="7" customWidth="1"/>
    <col min="2" max="2" width="3.7109375" style="2" customWidth="1"/>
    <col min="3" max="3" width="12.7109375" style="2" customWidth="1"/>
    <col min="4" max="4" width="35.7109375" style="2" customWidth="1"/>
    <col min="5" max="6" width="9.140625" style="1"/>
    <col min="7" max="8" width="9.140625" style="3"/>
    <col min="9" max="10" width="9.140625" style="5"/>
    <col min="11" max="16384" width="9.140625" style="1"/>
  </cols>
  <sheetData>
    <row r="1" spans="1:10" ht="14.25" x14ac:dyDescent="0.2">
      <c r="A1" s="133" t="str">
        <f>Főösszesítő!A1</f>
        <v>BÉKÉSSÁMSON KÖZSÉG ÖNKORMÁNYZATA</v>
      </c>
      <c r="B1" s="133"/>
      <c r="C1" s="133"/>
      <c r="D1" s="133"/>
      <c r="E1" s="133"/>
      <c r="F1" s="133"/>
      <c r="G1" s="133"/>
      <c r="H1" s="133"/>
      <c r="I1" s="133"/>
      <c r="J1" s="133"/>
    </row>
    <row r="2" spans="1:10" ht="14.25" x14ac:dyDescent="0.2">
      <c r="A2" s="134" t="str">
        <f>Főösszesítő!A2</f>
        <v>5495 BÉKÉSSÁMSON, HŐSÖK TERE 10-12. - PH ENERGETIKAI FELÚJÍTÁSA</v>
      </c>
      <c r="B2" s="134"/>
      <c r="C2" s="134"/>
      <c r="D2" s="134"/>
      <c r="E2" s="134"/>
      <c r="F2" s="134"/>
      <c r="G2" s="134"/>
      <c r="H2" s="134"/>
      <c r="I2" s="134"/>
      <c r="J2" s="134"/>
    </row>
    <row r="3" spans="1:10" ht="15" x14ac:dyDescent="0.25">
      <c r="A3" s="67"/>
      <c r="B3" s="68"/>
      <c r="C3" s="69"/>
      <c r="D3" s="70"/>
      <c r="E3" s="71"/>
      <c r="F3" s="72"/>
      <c r="G3" s="72"/>
      <c r="H3" s="72"/>
      <c r="I3" s="72"/>
      <c r="J3" s="73"/>
    </row>
    <row r="4" spans="1:10" ht="15.75" x14ac:dyDescent="0.25">
      <c r="A4" s="135" t="s">
        <v>404</v>
      </c>
      <c r="B4" s="135"/>
      <c r="C4" s="135"/>
      <c r="D4" s="135"/>
      <c r="E4" s="135"/>
      <c r="F4" s="135"/>
      <c r="G4" s="135"/>
      <c r="H4" s="135"/>
      <c r="I4" s="135"/>
      <c r="J4" s="135"/>
    </row>
    <row r="5" spans="1:10" ht="25.5" x14ac:dyDescent="0.2">
      <c r="A5" s="74" t="s">
        <v>389</v>
      </c>
      <c r="B5" s="74"/>
      <c r="C5" s="75" t="s">
        <v>390</v>
      </c>
      <c r="D5" s="75" t="s">
        <v>391</v>
      </c>
      <c r="E5" s="76" t="s">
        <v>392</v>
      </c>
      <c r="F5" s="75" t="s">
        <v>393</v>
      </c>
      <c r="G5" s="77" t="s">
        <v>394</v>
      </c>
      <c r="H5" s="77" t="s">
        <v>395</v>
      </c>
      <c r="I5" s="78" t="s">
        <v>396</v>
      </c>
      <c r="J5" s="78" t="s">
        <v>397</v>
      </c>
    </row>
    <row r="6" spans="1:10" x14ac:dyDescent="0.2">
      <c r="A6" s="79"/>
      <c r="B6" s="79"/>
      <c r="C6" s="79"/>
      <c r="D6" s="79"/>
      <c r="E6" s="80"/>
      <c r="F6" s="80"/>
      <c r="G6" s="81"/>
      <c r="H6" s="81"/>
      <c r="I6" s="73"/>
      <c r="J6" s="73"/>
    </row>
    <row r="7" spans="1:10" ht="89.25" x14ac:dyDescent="0.2">
      <c r="A7" s="7">
        <v>1</v>
      </c>
      <c r="C7" s="2" t="s">
        <v>2</v>
      </c>
      <c r="D7" s="2" t="s">
        <v>0</v>
      </c>
      <c r="E7" s="3">
        <v>625</v>
      </c>
      <c r="F7" s="1" t="s">
        <v>1</v>
      </c>
      <c r="G7" s="3">
        <v>0</v>
      </c>
      <c r="H7" s="3">
        <v>0</v>
      </c>
      <c r="I7" s="5">
        <f>E7*G7</f>
        <v>0</v>
      </c>
      <c r="J7" s="5">
        <f>E7*H7</f>
        <v>0</v>
      </c>
    </row>
    <row r="8" spans="1:10" ht="25.5" x14ac:dyDescent="0.2">
      <c r="A8" s="7">
        <f>1+A7</f>
        <v>2</v>
      </c>
      <c r="C8" s="2" t="s">
        <v>4</v>
      </c>
      <c r="D8" s="2" t="s">
        <v>3</v>
      </c>
      <c r="E8" s="3">
        <v>20</v>
      </c>
      <c r="F8" s="1" t="s">
        <v>1</v>
      </c>
      <c r="G8" s="3">
        <v>0</v>
      </c>
      <c r="H8" s="3">
        <v>0</v>
      </c>
      <c r="I8" s="5">
        <f>E8*G8</f>
        <v>0</v>
      </c>
      <c r="J8" s="5">
        <f>E8*H8</f>
        <v>0</v>
      </c>
    </row>
    <row r="9" spans="1:10" ht="25.5" x14ac:dyDescent="0.2">
      <c r="A9" s="7">
        <f>1+A8</f>
        <v>3</v>
      </c>
      <c r="C9" s="2" t="s">
        <v>6</v>
      </c>
      <c r="D9" s="2" t="s">
        <v>5</v>
      </c>
      <c r="E9" s="3">
        <f>E7</f>
        <v>625</v>
      </c>
      <c r="F9" s="1" t="s">
        <v>1</v>
      </c>
      <c r="G9" s="3">
        <v>0</v>
      </c>
      <c r="H9" s="3">
        <v>0</v>
      </c>
      <c r="I9" s="5">
        <f>E9*G9</f>
        <v>0</v>
      </c>
      <c r="J9" s="5">
        <f>E9*H9</f>
        <v>0</v>
      </c>
    </row>
    <row r="11" spans="1:10" x14ac:dyDescent="0.2">
      <c r="A11" s="132" t="s">
        <v>161</v>
      </c>
      <c r="B11" s="132"/>
      <c r="C11" s="132"/>
      <c r="D11" s="132"/>
      <c r="E11" s="8"/>
      <c r="F11" s="8"/>
      <c r="G11" s="9"/>
      <c r="H11" s="9"/>
      <c r="I11" s="10">
        <f>SUM(I7:I10)</f>
        <v>0</v>
      </c>
      <c r="J11" s="10">
        <f>SUM(J7:J10)</f>
        <v>0</v>
      </c>
    </row>
    <row r="14" spans="1:10" ht="51" x14ac:dyDescent="0.2">
      <c r="A14" s="7">
        <v>1</v>
      </c>
      <c r="B14" s="2" t="s">
        <v>22</v>
      </c>
      <c r="C14" s="2" t="s">
        <v>289</v>
      </c>
      <c r="D14" s="2" t="s">
        <v>288</v>
      </c>
      <c r="E14" s="3">
        <v>225</v>
      </c>
      <c r="F14" s="1" t="s">
        <v>11</v>
      </c>
      <c r="G14" s="3">
        <v>0</v>
      </c>
      <c r="H14" s="3">
        <v>0</v>
      </c>
      <c r="I14" s="5">
        <f>E14*G14</f>
        <v>0</v>
      </c>
      <c r="J14" s="5">
        <f>E14*H14</f>
        <v>0</v>
      </c>
    </row>
    <row r="15" spans="1:10" ht="51" x14ac:dyDescent="0.2">
      <c r="A15" s="7">
        <f>1+A14</f>
        <v>2</v>
      </c>
      <c r="B15" s="2" t="s">
        <v>22</v>
      </c>
      <c r="C15" s="2" t="s">
        <v>287</v>
      </c>
      <c r="D15" s="2" t="s">
        <v>290</v>
      </c>
      <c r="E15" s="3">
        <v>75</v>
      </c>
      <c r="F15" s="1" t="s">
        <v>1</v>
      </c>
      <c r="G15" s="3">
        <v>0</v>
      </c>
      <c r="H15" s="3">
        <v>0</v>
      </c>
      <c r="I15" s="5">
        <f>E15*G15</f>
        <v>0</v>
      </c>
      <c r="J15" s="5">
        <f>E15*H15</f>
        <v>0</v>
      </c>
    </row>
    <row r="17" spans="1:10" x14ac:dyDescent="0.2">
      <c r="A17" s="132" t="s">
        <v>170</v>
      </c>
      <c r="B17" s="132"/>
      <c r="C17" s="132"/>
      <c r="D17" s="132"/>
      <c r="E17" s="8"/>
      <c r="F17" s="8"/>
      <c r="G17" s="9"/>
      <c r="H17" s="9"/>
      <c r="I17" s="10">
        <f>SUM(I14:I16)</f>
        <v>0</v>
      </c>
      <c r="J17" s="10">
        <f>SUM(J14:J16)</f>
        <v>0</v>
      </c>
    </row>
    <row r="20" spans="1:10" ht="25.5" x14ac:dyDescent="0.2">
      <c r="A20" s="7">
        <v>1</v>
      </c>
      <c r="C20" s="2" t="s">
        <v>8</v>
      </c>
      <c r="D20" s="2" t="s">
        <v>7</v>
      </c>
      <c r="E20" s="3">
        <v>100</v>
      </c>
      <c r="F20" s="1" t="s">
        <v>1</v>
      </c>
      <c r="G20" s="3">
        <v>0</v>
      </c>
      <c r="H20" s="3">
        <v>0</v>
      </c>
      <c r="I20" s="5">
        <f t="shared" ref="I20:I34" si="0">E20*G20</f>
        <v>0</v>
      </c>
      <c r="J20" s="5">
        <f t="shared" ref="J20:J34" si="1">E20*H20</f>
        <v>0</v>
      </c>
    </row>
    <row r="21" spans="1:10" ht="38.25" x14ac:dyDescent="0.2">
      <c r="A21" s="7">
        <f>1+A20</f>
        <v>2</v>
      </c>
      <c r="C21" s="2" t="s">
        <v>10</v>
      </c>
      <c r="D21" s="2" t="s">
        <v>9</v>
      </c>
      <c r="E21" s="3">
        <f>1.5*5+2.25*10</f>
        <v>30</v>
      </c>
      <c r="F21" s="1" t="s">
        <v>11</v>
      </c>
      <c r="G21" s="3">
        <v>0</v>
      </c>
      <c r="H21" s="3">
        <v>0</v>
      </c>
      <c r="I21" s="5">
        <f t="shared" si="0"/>
        <v>0</v>
      </c>
      <c r="J21" s="5">
        <f t="shared" si="1"/>
        <v>0</v>
      </c>
    </row>
    <row r="22" spans="1:10" ht="51" x14ac:dyDescent="0.2">
      <c r="A22" s="7">
        <f t="shared" ref="A22:A34" si="2">1+A21</f>
        <v>3</v>
      </c>
      <c r="C22" s="2" t="s">
        <v>21</v>
      </c>
      <c r="D22" s="2" t="s">
        <v>20</v>
      </c>
      <c r="E22" s="3">
        <v>575</v>
      </c>
      <c r="F22" s="1" t="s">
        <v>1</v>
      </c>
      <c r="G22" s="3">
        <v>0</v>
      </c>
      <c r="H22" s="3">
        <v>0</v>
      </c>
      <c r="I22" s="5">
        <f t="shared" si="0"/>
        <v>0</v>
      </c>
      <c r="J22" s="5">
        <f t="shared" si="1"/>
        <v>0</v>
      </c>
    </row>
    <row r="23" spans="1:10" ht="25.5" x14ac:dyDescent="0.2">
      <c r="A23" s="7">
        <f t="shared" si="2"/>
        <v>4</v>
      </c>
      <c r="C23" s="2" t="s">
        <v>13</v>
      </c>
      <c r="D23" s="2" t="s">
        <v>12</v>
      </c>
      <c r="E23" s="3">
        <v>100</v>
      </c>
      <c r="F23" s="1" t="s">
        <v>1</v>
      </c>
      <c r="G23" s="3">
        <v>0</v>
      </c>
      <c r="H23" s="3">
        <v>0</v>
      </c>
      <c r="I23" s="5">
        <f t="shared" si="0"/>
        <v>0</v>
      </c>
      <c r="J23" s="5">
        <f t="shared" si="1"/>
        <v>0</v>
      </c>
    </row>
    <row r="24" spans="1:10" ht="38.25" x14ac:dyDescent="0.2">
      <c r="A24" s="7">
        <f t="shared" si="2"/>
        <v>5</v>
      </c>
      <c r="C24" s="2" t="s">
        <v>15</v>
      </c>
      <c r="D24" s="2" t="s">
        <v>14</v>
      </c>
      <c r="E24" s="3">
        <f>E23</f>
        <v>100</v>
      </c>
      <c r="F24" s="1" t="s">
        <v>1</v>
      </c>
      <c r="G24" s="3">
        <v>0</v>
      </c>
      <c r="H24" s="3">
        <v>0</v>
      </c>
      <c r="I24" s="5">
        <f t="shared" si="0"/>
        <v>0</v>
      </c>
      <c r="J24" s="5">
        <f t="shared" si="1"/>
        <v>0</v>
      </c>
    </row>
    <row r="25" spans="1:10" ht="38.25" x14ac:dyDescent="0.2">
      <c r="A25" s="7">
        <f t="shared" si="2"/>
        <v>6</v>
      </c>
      <c r="C25" s="2" t="s">
        <v>17</v>
      </c>
      <c r="D25" s="2" t="s">
        <v>16</v>
      </c>
      <c r="E25" s="3">
        <f>E24</f>
        <v>100</v>
      </c>
      <c r="F25" s="1" t="s">
        <v>1</v>
      </c>
      <c r="G25" s="3">
        <v>0</v>
      </c>
      <c r="H25" s="3">
        <v>0</v>
      </c>
      <c r="I25" s="5">
        <f t="shared" si="0"/>
        <v>0</v>
      </c>
      <c r="J25" s="5">
        <f t="shared" si="1"/>
        <v>0</v>
      </c>
    </row>
    <row r="26" spans="1:10" ht="51" x14ac:dyDescent="0.2">
      <c r="A26" s="7">
        <f t="shared" si="2"/>
        <v>7</v>
      </c>
      <c r="C26" s="2" t="s">
        <v>19</v>
      </c>
      <c r="D26" s="2" t="s">
        <v>18</v>
      </c>
      <c r="E26" s="3">
        <f>E25</f>
        <v>100</v>
      </c>
      <c r="F26" s="1" t="s">
        <v>1</v>
      </c>
      <c r="G26" s="3">
        <v>0</v>
      </c>
      <c r="H26" s="3">
        <v>0</v>
      </c>
      <c r="I26" s="5">
        <f t="shared" si="0"/>
        <v>0</v>
      </c>
      <c r="J26" s="5">
        <f t="shared" si="1"/>
        <v>0</v>
      </c>
    </row>
    <row r="27" spans="1:10" ht="38.25" x14ac:dyDescent="0.2">
      <c r="A27" s="7">
        <f t="shared" si="2"/>
        <v>8</v>
      </c>
      <c r="B27" s="2" t="s">
        <v>22</v>
      </c>
      <c r="C27" s="2" t="s">
        <v>23</v>
      </c>
      <c r="D27" s="2" t="s">
        <v>323</v>
      </c>
      <c r="E27" s="4">
        <f>SUM(E39:E47)</f>
        <v>654.48249999999996</v>
      </c>
      <c r="F27" s="1" t="s">
        <v>1</v>
      </c>
      <c r="G27" s="3">
        <v>0</v>
      </c>
      <c r="H27" s="3">
        <v>0</v>
      </c>
      <c r="I27" s="5">
        <f t="shared" si="0"/>
        <v>0</v>
      </c>
      <c r="J27" s="5">
        <f t="shared" si="1"/>
        <v>0</v>
      </c>
    </row>
    <row r="28" spans="1:10" ht="89.25" x14ac:dyDescent="0.2">
      <c r="A28" s="7">
        <f t="shared" si="2"/>
        <v>9</v>
      </c>
      <c r="B28" s="2" t="s">
        <v>22</v>
      </c>
      <c r="C28" s="2" t="s">
        <v>24</v>
      </c>
      <c r="D28" s="2" t="s">
        <v>324</v>
      </c>
      <c r="E28" s="4">
        <f>E27-E30-E29</f>
        <v>404.48499999999996</v>
      </c>
      <c r="F28" s="1" t="s">
        <v>1</v>
      </c>
      <c r="G28" s="3">
        <v>0</v>
      </c>
      <c r="H28" s="3">
        <v>0</v>
      </c>
      <c r="I28" s="5">
        <f t="shared" si="0"/>
        <v>0</v>
      </c>
      <c r="J28" s="5">
        <f t="shared" si="1"/>
        <v>0</v>
      </c>
    </row>
    <row r="29" spans="1:10" ht="89.25" x14ac:dyDescent="0.2">
      <c r="A29" s="7">
        <f t="shared" si="2"/>
        <v>10</v>
      </c>
      <c r="B29" s="2" t="s">
        <v>22</v>
      </c>
      <c r="C29" s="2" t="s">
        <v>24</v>
      </c>
      <c r="D29" s="2" t="s">
        <v>325</v>
      </c>
      <c r="E29" s="117">
        <f>(16+12.75)*4.25+27.81</f>
        <v>149.9975</v>
      </c>
      <c r="F29" s="1" t="s">
        <v>1</v>
      </c>
      <c r="G29" s="3">
        <v>0</v>
      </c>
      <c r="H29" s="3">
        <v>0</v>
      </c>
      <c r="I29" s="5">
        <f t="shared" si="0"/>
        <v>0</v>
      </c>
      <c r="J29" s="5">
        <f t="shared" si="1"/>
        <v>0</v>
      </c>
    </row>
    <row r="30" spans="1:10" ht="76.5" x14ac:dyDescent="0.2">
      <c r="A30" s="7">
        <f t="shared" si="2"/>
        <v>11</v>
      </c>
      <c r="B30" s="2" t="s">
        <v>22</v>
      </c>
      <c r="C30" s="2" t="s">
        <v>25</v>
      </c>
      <c r="D30" s="2" t="s">
        <v>326</v>
      </c>
      <c r="E30" s="4">
        <f>SUM(E41)</f>
        <v>100</v>
      </c>
      <c r="F30" s="1" t="s">
        <v>1</v>
      </c>
      <c r="G30" s="3">
        <v>0</v>
      </c>
      <c r="H30" s="3">
        <v>0</v>
      </c>
      <c r="I30" s="5">
        <f t="shared" si="0"/>
        <v>0</v>
      </c>
      <c r="J30" s="5">
        <f t="shared" si="1"/>
        <v>0</v>
      </c>
    </row>
    <row r="31" spans="1:10" ht="89.25" x14ac:dyDescent="0.2">
      <c r="A31" s="7">
        <f t="shared" si="2"/>
        <v>12</v>
      </c>
      <c r="B31" s="2" t="s">
        <v>22</v>
      </c>
      <c r="C31" s="2" t="s">
        <v>26</v>
      </c>
      <c r="D31" s="2" t="s">
        <v>327</v>
      </c>
      <c r="E31" s="3">
        <f>5*10+1.55*(5+10)*2+0.8*2*2+0.6*2+3.4*2+2.95*2*2+2.25*2+2.45*2+1.2+2.5+2.3</f>
        <v>134.9</v>
      </c>
      <c r="F31" s="1" t="s">
        <v>11</v>
      </c>
      <c r="G31" s="3">
        <v>0</v>
      </c>
      <c r="H31" s="3">
        <v>0</v>
      </c>
      <c r="I31" s="5">
        <f t="shared" si="0"/>
        <v>0</v>
      </c>
      <c r="J31" s="5">
        <f t="shared" si="1"/>
        <v>0</v>
      </c>
    </row>
    <row r="32" spans="1:10" ht="89.25" x14ac:dyDescent="0.2">
      <c r="A32" s="7">
        <f t="shared" si="2"/>
        <v>13</v>
      </c>
      <c r="B32" s="2" t="s">
        <v>22</v>
      </c>
      <c r="C32" s="2" t="s">
        <v>27</v>
      </c>
      <c r="D32" s="2" t="s">
        <v>328</v>
      </c>
      <c r="E32" s="3">
        <f>+(1.55+1.25)*2*5+(1.55+2.05)*2*10+(0.95+0.8)*2*1+(1.05+0.8)*2*1+(0.45+0.6)*2*1+(1.5+3.4*2)*1+(1.3+2.95*2)*1+(2.4+2.95*2)*2+(1+2.25*2)*1+(1.2+2.45*2)*1</f>
        <v>153</v>
      </c>
      <c r="F32" s="1" t="s">
        <v>11</v>
      </c>
      <c r="G32" s="3">
        <v>0</v>
      </c>
      <c r="H32" s="3">
        <v>0</v>
      </c>
      <c r="I32" s="5">
        <f t="shared" si="0"/>
        <v>0</v>
      </c>
      <c r="J32" s="5">
        <f t="shared" si="1"/>
        <v>0</v>
      </c>
    </row>
    <row r="33" spans="1:10" ht="102" x14ac:dyDescent="0.2">
      <c r="A33" s="7">
        <f t="shared" si="2"/>
        <v>14</v>
      </c>
      <c r="B33" s="2" t="s">
        <v>22</v>
      </c>
      <c r="C33" s="2" t="s">
        <v>291</v>
      </c>
      <c r="D33" s="6" t="s">
        <v>330</v>
      </c>
      <c r="E33" s="4">
        <v>120</v>
      </c>
      <c r="F33" s="1" t="s">
        <v>11</v>
      </c>
      <c r="G33" s="3">
        <v>0</v>
      </c>
      <c r="H33" s="3">
        <v>0</v>
      </c>
      <c r="I33" s="5">
        <f t="shared" si="0"/>
        <v>0</v>
      </c>
      <c r="J33" s="5">
        <f t="shared" si="1"/>
        <v>0</v>
      </c>
    </row>
    <row r="34" spans="1:10" ht="76.5" x14ac:dyDescent="0.2">
      <c r="A34" s="7">
        <f t="shared" si="2"/>
        <v>15</v>
      </c>
      <c r="B34" s="2" t="s">
        <v>22</v>
      </c>
      <c r="C34" s="2" t="s">
        <v>28</v>
      </c>
      <c r="D34" s="2" t="s">
        <v>329</v>
      </c>
      <c r="E34" s="3">
        <f>1.25*5+2.05*10+0.95*1+1.05*1+0.45*1+1.6*1+1.2*1+1*1+1.2*1</f>
        <v>34.200000000000003</v>
      </c>
      <c r="F34" s="1" t="s">
        <v>11</v>
      </c>
      <c r="G34" s="3">
        <v>0</v>
      </c>
      <c r="H34" s="3">
        <v>0</v>
      </c>
      <c r="I34" s="5">
        <f t="shared" si="0"/>
        <v>0</v>
      </c>
      <c r="J34" s="5">
        <f t="shared" si="1"/>
        <v>0</v>
      </c>
    </row>
    <row r="36" spans="1:10" x14ac:dyDescent="0.2">
      <c r="A36" s="132" t="s">
        <v>162</v>
      </c>
      <c r="B36" s="132"/>
      <c r="C36" s="132"/>
      <c r="D36" s="132"/>
      <c r="E36" s="8"/>
      <c r="F36" s="8"/>
      <c r="G36" s="9"/>
      <c r="H36" s="9"/>
      <c r="I36" s="10">
        <f>SUM(I20:I35)</f>
        <v>0</v>
      </c>
      <c r="J36" s="10">
        <f>SUM(J20:J35)</f>
        <v>0</v>
      </c>
    </row>
    <row r="39" spans="1:10" ht="114.75" x14ac:dyDescent="0.2">
      <c r="A39" s="7">
        <v>1</v>
      </c>
      <c r="B39" s="2" t="s">
        <v>22</v>
      </c>
      <c r="C39" s="2" t="s">
        <v>29</v>
      </c>
      <c r="D39" s="2" t="s">
        <v>331</v>
      </c>
      <c r="E39" s="4">
        <f>110*4.25-(1.25*1.55*5+2.05*1.55*8+0.95*0.8*1+1.05*0.8*1+0.45*0.6*1+1.25*2.95+2.4*2.95*2+1*2.25*1+1.2*2.45*1)</f>
        <v>407.48500000000001</v>
      </c>
      <c r="F39" s="1" t="s">
        <v>1</v>
      </c>
      <c r="G39" s="3">
        <v>0</v>
      </c>
      <c r="H39" s="3">
        <v>0</v>
      </c>
      <c r="I39" s="5">
        <f t="shared" ref="I39:I49" si="3">E39*G39</f>
        <v>0</v>
      </c>
      <c r="J39" s="5">
        <f t="shared" ref="J39:J49" si="4">E39*H39</f>
        <v>0</v>
      </c>
    </row>
    <row r="40" spans="1:10" ht="127.5" x14ac:dyDescent="0.2">
      <c r="A40" s="7">
        <f>1+A39</f>
        <v>2</v>
      </c>
      <c r="B40" s="2" t="s">
        <v>22</v>
      </c>
      <c r="C40" s="2" t="s">
        <v>292</v>
      </c>
      <c r="D40" s="2" t="s">
        <v>332</v>
      </c>
      <c r="E40" s="4"/>
      <c r="F40" s="1" t="s">
        <v>1</v>
      </c>
      <c r="G40" s="3">
        <v>0</v>
      </c>
      <c r="H40" s="3">
        <v>0</v>
      </c>
      <c r="I40" s="5">
        <f t="shared" si="3"/>
        <v>0</v>
      </c>
      <c r="J40" s="5">
        <f t="shared" si="4"/>
        <v>0</v>
      </c>
    </row>
    <row r="41" spans="1:10" ht="127.5" x14ac:dyDescent="0.2">
      <c r="A41" s="7">
        <f t="shared" ref="A41:A49" si="5">1+A40</f>
        <v>3</v>
      </c>
      <c r="B41" s="2" t="s">
        <v>22</v>
      </c>
      <c r="C41" s="2" t="s">
        <v>30</v>
      </c>
      <c r="D41" s="2" t="s">
        <v>333</v>
      </c>
      <c r="E41" s="4">
        <v>100</v>
      </c>
      <c r="F41" s="1" t="s">
        <v>1</v>
      </c>
      <c r="G41" s="3">
        <v>0</v>
      </c>
      <c r="H41" s="3">
        <v>0</v>
      </c>
      <c r="I41" s="5">
        <f t="shared" si="3"/>
        <v>0</v>
      </c>
      <c r="J41" s="5">
        <f t="shared" si="4"/>
        <v>0</v>
      </c>
    </row>
    <row r="42" spans="1:10" ht="114.75" x14ac:dyDescent="0.2">
      <c r="A42" s="7">
        <f t="shared" si="5"/>
        <v>4</v>
      </c>
      <c r="B42" s="2" t="s">
        <v>22</v>
      </c>
      <c r="C42" s="2" t="s">
        <v>295</v>
      </c>
      <c r="D42" s="2" t="s">
        <v>334</v>
      </c>
      <c r="E42" s="4">
        <f>(1.25*5+2.05*10+0.95+1.05+0.45)*0.35</f>
        <v>10.219999999999999</v>
      </c>
      <c r="F42" s="1" t="s">
        <v>1</v>
      </c>
      <c r="G42" s="3">
        <v>0</v>
      </c>
      <c r="H42" s="3">
        <v>0</v>
      </c>
      <c r="I42" s="5">
        <f t="shared" si="3"/>
        <v>0</v>
      </c>
      <c r="J42" s="5">
        <f t="shared" si="4"/>
        <v>0</v>
      </c>
    </row>
    <row r="43" spans="1:10" ht="25.5" x14ac:dyDescent="0.2">
      <c r="A43" s="7">
        <f t="shared" si="5"/>
        <v>5</v>
      </c>
      <c r="B43" s="2" t="s">
        <v>22</v>
      </c>
      <c r="C43" s="2" t="s">
        <v>31</v>
      </c>
      <c r="D43" s="2" t="s">
        <v>335</v>
      </c>
      <c r="E43" s="4">
        <f>(1.55*(5+10)*2+0.8*2*2+0.6*2+(3.4+2.95*3+2.25+2.45)*2)*0.35+E42+(1.5+1.25+2.4*2+1+1.2)*0.35</f>
        <v>43.312500000000007</v>
      </c>
      <c r="F43" s="1" t="s">
        <v>1</v>
      </c>
      <c r="G43" s="3">
        <v>0</v>
      </c>
      <c r="H43" s="3">
        <v>0</v>
      </c>
      <c r="I43" s="5">
        <f t="shared" si="3"/>
        <v>0</v>
      </c>
      <c r="J43" s="5">
        <f t="shared" si="4"/>
        <v>0</v>
      </c>
    </row>
    <row r="44" spans="1:10" ht="38.25" x14ac:dyDescent="0.2">
      <c r="A44" s="7">
        <f t="shared" si="5"/>
        <v>6</v>
      </c>
      <c r="B44" s="2" t="s">
        <v>22</v>
      </c>
      <c r="C44" s="2" t="s">
        <v>293</v>
      </c>
      <c r="D44" s="2" t="s">
        <v>336</v>
      </c>
      <c r="E44" s="4">
        <f>(1.6*2+0.6)*2.95*2</f>
        <v>22.42</v>
      </c>
      <c r="F44" s="1" t="s">
        <v>1</v>
      </c>
      <c r="G44" s="3">
        <v>0</v>
      </c>
      <c r="H44" s="3">
        <v>0</v>
      </c>
      <c r="I44" s="5">
        <f t="shared" si="3"/>
        <v>0</v>
      </c>
      <c r="J44" s="5">
        <f t="shared" si="4"/>
        <v>0</v>
      </c>
    </row>
    <row r="45" spans="1:10" ht="38.25" x14ac:dyDescent="0.2">
      <c r="A45" s="7">
        <f t="shared" si="5"/>
        <v>7</v>
      </c>
      <c r="B45" s="2" t="s">
        <v>22</v>
      </c>
      <c r="C45" s="2" t="s">
        <v>32</v>
      </c>
      <c r="D45" s="2" t="s">
        <v>337</v>
      </c>
      <c r="E45" s="4">
        <v>0</v>
      </c>
      <c r="F45" s="1" t="s">
        <v>1</v>
      </c>
      <c r="G45" s="3">
        <v>0</v>
      </c>
      <c r="H45" s="3">
        <v>0</v>
      </c>
      <c r="I45" s="5">
        <f t="shared" si="3"/>
        <v>0</v>
      </c>
      <c r="J45" s="5">
        <f t="shared" si="4"/>
        <v>0</v>
      </c>
    </row>
    <row r="46" spans="1:10" ht="127.5" x14ac:dyDescent="0.2">
      <c r="A46" s="7">
        <f t="shared" si="5"/>
        <v>8</v>
      </c>
      <c r="B46" s="2" t="s">
        <v>22</v>
      </c>
      <c r="C46" s="2" t="s">
        <v>157</v>
      </c>
      <c r="D46" s="2" t="s">
        <v>338</v>
      </c>
      <c r="E46" s="4">
        <f>75-(1.5*3.4*1+2.05*1.55*2)</f>
        <v>63.545000000000002</v>
      </c>
      <c r="F46" s="1" t="s">
        <v>1</v>
      </c>
      <c r="G46" s="3">
        <v>0</v>
      </c>
      <c r="H46" s="3">
        <v>0</v>
      </c>
      <c r="I46" s="5">
        <f t="shared" si="3"/>
        <v>0</v>
      </c>
      <c r="J46" s="5">
        <f t="shared" si="4"/>
        <v>0</v>
      </c>
    </row>
    <row r="47" spans="1:10" ht="127.5" x14ac:dyDescent="0.2">
      <c r="A47" s="7">
        <f t="shared" si="5"/>
        <v>9</v>
      </c>
      <c r="B47" s="2" t="s">
        <v>22</v>
      </c>
      <c r="C47" s="2" t="s">
        <v>294</v>
      </c>
      <c r="D47" s="2" t="s">
        <v>339</v>
      </c>
      <c r="E47" s="4">
        <v>7.5</v>
      </c>
      <c r="F47" s="1" t="s">
        <v>1</v>
      </c>
      <c r="G47" s="3">
        <v>0</v>
      </c>
      <c r="H47" s="3">
        <v>0</v>
      </c>
      <c r="I47" s="5">
        <f t="shared" si="3"/>
        <v>0</v>
      </c>
      <c r="J47" s="5">
        <f t="shared" si="4"/>
        <v>0</v>
      </c>
    </row>
    <row r="48" spans="1:10" ht="102" x14ac:dyDescent="0.2">
      <c r="A48" s="7">
        <f t="shared" si="5"/>
        <v>10</v>
      </c>
      <c r="B48" s="2" t="s">
        <v>22</v>
      </c>
      <c r="C48" s="2" t="s">
        <v>33</v>
      </c>
      <c r="D48" s="2" t="s">
        <v>34</v>
      </c>
      <c r="E48" s="5">
        <v>750</v>
      </c>
      <c r="F48" s="1" t="s">
        <v>35</v>
      </c>
      <c r="G48" s="3">
        <v>0</v>
      </c>
      <c r="H48" s="3">
        <v>0</v>
      </c>
      <c r="I48" s="5">
        <f t="shared" si="3"/>
        <v>0</v>
      </c>
      <c r="J48" s="5">
        <f t="shared" si="4"/>
        <v>0</v>
      </c>
    </row>
    <row r="49" spans="1:10" ht="38.25" x14ac:dyDescent="0.2">
      <c r="A49" s="7">
        <f t="shared" si="5"/>
        <v>11</v>
      </c>
      <c r="B49" s="2" t="s">
        <v>22</v>
      </c>
      <c r="C49" s="2" t="s">
        <v>37</v>
      </c>
      <c r="D49" s="2" t="s">
        <v>36</v>
      </c>
      <c r="E49" s="5">
        <v>4500</v>
      </c>
      <c r="F49" s="1" t="s">
        <v>35</v>
      </c>
      <c r="G49" s="3">
        <v>0</v>
      </c>
      <c r="H49" s="3">
        <v>0</v>
      </c>
      <c r="I49" s="5">
        <f t="shared" si="3"/>
        <v>0</v>
      </c>
      <c r="J49" s="5">
        <f t="shared" si="4"/>
        <v>0</v>
      </c>
    </row>
    <row r="51" spans="1:10" x14ac:dyDescent="0.2">
      <c r="A51" s="132" t="s">
        <v>163</v>
      </c>
      <c r="B51" s="132"/>
      <c r="C51" s="132"/>
      <c r="D51" s="132"/>
      <c r="E51" s="8"/>
      <c r="F51" s="8"/>
      <c r="G51" s="9"/>
      <c r="H51" s="9"/>
      <c r="I51" s="10">
        <f>SUM(I46:I50)</f>
        <v>0</v>
      </c>
      <c r="J51" s="10">
        <f>SUM(J46:J50)</f>
        <v>0</v>
      </c>
    </row>
  </sheetData>
  <mergeCells count="7">
    <mergeCell ref="A11:D11"/>
    <mergeCell ref="A36:D36"/>
    <mergeCell ref="A51:D51"/>
    <mergeCell ref="A17:D17"/>
    <mergeCell ref="A1:J1"/>
    <mergeCell ref="A2:J2"/>
    <mergeCell ref="A4:J4"/>
  </mergeCells>
  <pageMargins left="0.70866141732283472" right="0.70866141732283472" top="0.74803149606299213" bottom="0.74803149606299213" header="0.31496062992125984" footer="0.31496062992125984"/>
  <pageSetup paperSize="9" scale="79" fitToHeight="100" orientation="portrait" r:id="rId1"/>
  <headerFooter>
    <oddFooter>&amp;C&amp;P/&amp;N&amp;RAjánlattevő</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tabSelected="1" workbookViewId="0">
      <selection activeCell="I12" sqref="I12"/>
    </sheetView>
  </sheetViews>
  <sheetFormatPr defaultRowHeight="12.75" x14ac:dyDescent="0.2"/>
  <cols>
    <col min="1" max="1" width="4.7109375" style="7" customWidth="1"/>
    <col min="2" max="2" width="3.7109375" style="2" customWidth="1"/>
    <col min="3" max="3" width="12.7109375" style="2" customWidth="1"/>
    <col min="4" max="4" width="35.7109375" style="2" customWidth="1"/>
    <col min="5" max="6" width="9.140625" style="1"/>
    <col min="7" max="8" width="9.140625" style="3"/>
    <col min="9" max="10" width="9.140625" style="5"/>
    <col min="11" max="16384" width="9.140625" style="1"/>
  </cols>
  <sheetData>
    <row r="1" spans="1:10" ht="14.25" x14ac:dyDescent="0.2">
      <c r="A1" s="133" t="str">
        <f>Főösszesítő!A1</f>
        <v>BÉKÉSSÁMSON KÖZSÉG ÖNKORMÁNYZATA</v>
      </c>
      <c r="B1" s="133"/>
      <c r="C1" s="133"/>
      <c r="D1" s="133"/>
      <c r="E1" s="133"/>
      <c r="F1" s="133"/>
      <c r="G1" s="133"/>
      <c r="H1" s="133"/>
      <c r="I1" s="133"/>
      <c r="J1" s="133"/>
    </row>
    <row r="2" spans="1:10" ht="14.25" x14ac:dyDescent="0.2">
      <c r="A2" s="134" t="str">
        <f>Főösszesítő!A2</f>
        <v>5495 BÉKÉSSÁMSON, HŐSÖK TERE 10-12. - PH ENERGETIKAI FELÚJÍTÁSA</v>
      </c>
      <c r="B2" s="134"/>
      <c r="C2" s="134"/>
      <c r="D2" s="134"/>
      <c r="E2" s="134"/>
      <c r="F2" s="134"/>
      <c r="G2" s="134"/>
      <c r="H2" s="134"/>
      <c r="I2" s="134"/>
      <c r="J2" s="134"/>
    </row>
    <row r="3" spans="1:10" ht="15" x14ac:dyDescent="0.25">
      <c r="A3" s="67"/>
      <c r="B3" s="68"/>
      <c r="C3" s="69"/>
      <c r="D3" s="70"/>
      <c r="E3" s="71"/>
      <c r="F3" s="72"/>
      <c r="G3" s="72"/>
      <c r="H3" s="72"/>
      <c r="I3" s="72"/>
      <c r="J3" s="73"/>
    </row>
    <row r="4" spans="1:10" ht="15.75" x14ac:dyDescent="0.25">
      <c r="A4" s="135" t="s">
        <v>403</v>
      </c>
      <c r="B4" s="135"/>
      <c r="C4" s="135"/>
      <c r="D4" s="135"/>
      <c r="E4" s="135"/>
      <c r="F4" s="135"/>
      <c r="G4" s="135"/>
      <c r="H4" s="135"/>
      <c r="I4" s="135"/>
      <c r="J4" s="135"/>
    </row>
    <row r="5" spans="1:10" ht="25.5" x14ac:dyDescent="0.2">
      <c r="A5" s="74" t="s">
        <v>389</v>
      </c>
      <c r="B5" s="74"/>
      <c r="C5" s="75" t="s">
        <v>390</v>
      </c>
      <c r="D5" s="75" t="s">
        <v>391</v>
      </c>
      <c r="E5" s="76" t="s">
        <v>392</v>
      </c>
      <c r="F5" s="75" t="s">
        <v>393</v>
      </c>
      <c r="G5" s="77" t="s">
        <v>394</v>
      </c>
      <c r="H5" s="77" t="s">
        <v>395</v>
      </c>
      <c r="I5" s="78" t="s">
        <v>396</v>
      </c>
      <c r="J5" s="78" t="s">
        <v>397</v>
      </c>
    </row>
    <row r="6" spans="1:10" x14ac:dyDescent="0.2">
      <c r="A6" s="79"/>
      <c r="B6" s="79"/>
      <c r="C6" s="79"/>
      <c r="D6" s="79"/>
      <c r="E6" s="80"/>
      <c r="F6" s="80"/>
      <c r="G6" s="81"/>
      <c r="H6" s="81"/>
      <c r="I6" s="73"/>
      <c r="J6" s="73"/>
    </row>
    <row r="7" spans="1:10" ht="38.25" x14ac:dyDescent="0.2">
      <c r="A7" s="7">
        <v>1</v>
      </c>
      <c r="C7" s="2" t="s">
        <v>39</v>
      </c>
      <c r="D7" s="2" t="s">
        <v>38</v>
      </c>
      <c r="E7" s="3">
        <f>0.6*0.6*1+1.27*0.85*1</f>
        <v>1.4394999999999998</v>
      </c>
      <c r="F7" s="1" t="s">
        <v>1</v>
      </c>
      <c r="G7" s="3">
        <v>0</v>
      </c>
      <c r="H7" s="3">
        <v>0</v>
      </c>
      <c r="I7" s="5">
        <f t="shared" ref="I7:I12" si="0">E7*G7</f>
        <v>0</v>
      </c>
      <c r="J7" s="5">
        <f t="shared" ref="J7:J12" si="1">E7*H7</f>
        <v>0</v>
      </c>
    </row>
    <row r="8" spans="1:10" x14ac:dyDescent="0.2">
      <c r="A8" s="7">
        <f>1+A7</f>
        <v>2</v>
      </c>
      <c r="C8" s="2" t="s">
        <v>40</v>
      </c>
      <c r="D8" s="2" t="s">
        <v>43</v>
      </c>
      <c r="E8" s="3">
        <f>1*1*2.25+1*1.2*2.45+1*1.4*2.95</f>
        <v>9.32</v>
      </c>
      <c r="F8" s="1" t="s">
        <v>1</v>
      </c>
      <c r="G8" s="3">
        <v>0</v>
      </c>
      <c r="H8" s="3">
        <v>0</v>
      </c>
      <c r="I8" s="5">
        <f t="shared" si="0"/>
        <v>0</v>
      </c>
      <c r="J8" s="5">
        <f t="shared" si="1"/>
        <v>0</v>
      </c>
    </row>
    <row r="9" spans="1:10" x14ac:dyDescent="0.2">
      <c r="A9" s="7">
        <f t="shared" ref="A9:A12" si="2">1+A8</f>
        <v>3</v>
      </c>
      <c r="C9" s="2" t="s">
        <v>41</v>
      </c>
      <c r="D9" s="2" t="s">
        <v>44</v>
      </c>
      <c r="E9" s="3">
        <f>5*1.47*2.95+1*1.6*3.4</f>
        <v>27.122500000000002</v>
      </c>
      <c r="F9" s="1" t="s">
        <v>1</v>
      </c>
      <c r="G9" s="3">
        <v>0</v>
      </c>
      <c r="H9" s="3">
        <v>0</v>
      </c>
      <c r="I9" s="5">
        <f t="shared" si="0"/>
        <v>0</v>
      </c>
      <c r="J9" s="5">
        <f t="shared" si="1"/>
        <v>0</v>
      </c>
    </row>
    <row r="10" spans="1:10" x14ac:dyDescent="0.2">
      <c r="A10" s="7">
        <f t="shared" si="2"/>
        <v>4</v>
      </c>
      <c r="C10" s="2" t="s">
        <v>42</v>
      </c>
      <c r="D10" s="2" t="s">
        <v>45</v>
      </c>
      <c r="E10" s="3">
        <f>10*2.27*2.95+1*2.25*2.95+1*2.5*2.95</f>
        <v>80.977500000000006</v>
      </c>
      <c r="F10" s="1" t="s">
        <v>1</v>
      </c>
      <c r="G10" s="3">
        <v>0</v>
      </c>
      <c r="H10" s="3">
        <v>0</v>
      </c>
      <c r="I10" s="5">
        <f t="shared" si="0"/>
        <v>0</v>
      </c>
      <c r="J10" s="5">
        <f t="shared" si="1"/>
        <v>0</v>
      </c>
    </row>
    <row r="11" spans="1:10" ht="51" x14ac:dyDescent="0.2">
      <c r="A11" s="7">
        <f t="shared" si="2"/>
        <v>5</v>
      </c>
      <c r="C11" s="2" t="s">
        <v>55</v>
      </c>
      <c r="D11" s="2" t="s">
        <v>54</v>
      </c>
      <c r="E11" s="3">
        <v>15</v>
      </c>
      <c r="F11" s="1" t="s">
        <v>53</v>
      </c>
      <c r="G11" s="3">
        <v>0</v>
      </c>
      <c r="H11" s="3">
        <v>0</v>
      </c>
      <c r="I11" s="5">
        <f t="shared" si="0"/>
        <v>0</v>
      </c>
      <c r="J11" s="5">
        <f t="shared" si="1"/>
        <v>0</v>
      </c>
    </row>
    <row r="12" spans="1:10" ht="38.25" x14ac:dyDescent="0.2">
      <c r="A12" s="7">
        <f t="shared" si="2"/>
        <v>6</v>
      </c>
      <c r="C12" s="2" t="s">
        <v>57</v>
      </c>
      <c r="D12" s="2" t="s">
        <v>56</v>
      </c>
      <c r="E12" s="5">
        <v>3</v>
      </c>
      <c r="F12" s="1" t="s">
        <v>35</v>
      </c>
      <c r="G12" s="3">
        <v>0</v>
      </c>
      <c r="H12" s="3">
        <v>0</v>
      </c>
      <c r="I12" s="5">
        <f t="shared" si="0"/>
        <v>0</v>
      </c>
      <c r="J12" s="5">
        <f t="shared" si="1"/>
        <v>0</v>
      </c>
    </row>
    <row r="13" spans="1:10" x14ac:dyDescent="0.2">
      <c r="E13" s="5"/>
    </row>
    <row r="14" spans="1:10" s="66" customFormat="1" x14ac:dyDescent="0.2">
      <c r="A14" s="132" t="s">
        <v>158</v>
      </c>
      <c r="B14" s="132"/>
      <c r="C14" s="132"/>
      <c r="D14" s="132"/>
      <c r="E14" s="10"/>
      <c r="F14" s="8"/>
      <c r="G14" s="9"/>
      <c r="H14" s="9"/>
      <c r="I14" s="10">
        <f>SUM(I7:I13)</f>
        <v>0</v>
      </c>
      <c r="J14" s="10">
        <f>SUM(J7:J13)</f>
        <v>0</v>
      </c>
    </row>
    <row r="15" spans="1:10" x14ac:dyDescent="0.2">
      <c r="E15" s="5"/>
    </row>
    <row r="16" spans="1:10" x14ac:dyDescent="0.2">
      <c r="E16" s="5"/>
    </row>
    <row r="17" spans="1:10" ht="140.25" x14ac:dyDescent="0.2">
      <c r="A17" s="7">
        <v>1</v>
      </c>
      <c r="B17" s="2" t="s">
        <v>111</v>
      </c>
      <c r="D17" s="2" t="s">
        <v>148</v>
      </c>
    </row>
    <row r="18" spans="1:10" ht="38.25" x14ac:dyDescent="0.2">
      <c r="D18" s="2" t="s">
        <v>138</v>
      </c>
      <c r="E18" s="1">
        <v>1</v>
      </c>
      <c r="F18" s="1" t="s">
        <v>35</v>
      </c>
      <c r="G18" s="3">
        <v>0</v>
      </c>
      <c r="H18" s="3">
        <v>0</v>
      </c>
      <c r="I18" s="5">
        <f>E18*G18</f>
        <v>0</v>
      </c>
      <c r="J18" s="5">
        <f>E18*H18</f>
        <v>0</v>
      </c>
    </row>
    <row r="19" spans="1:10" ht="191.25" x14ac:dyDescent="0.2">
      <c r="A19" s="7">
        <f>1+A17</f>
        <v>2</v>
      </c>
      <c r="B19" s="2" t="s">
        <v>111</v>
      </c>
      <c r="D19" s="2" t="s">
        <v>147</v>
      </c>
    </row>
    <row r="20" spans="1:10" ht="51" x14ac:dyDescent="0.2">
      <c r="D20" s="2" t="s">
        <v>140</v>
      </c>
      <c r="E20" s="1">
        <v>1</v>
      </c>
      <c r="F20" s="1" t="s">
        <v>35</v>
      </c>
      <c r="G20" s="3">
        <v>0</v>
      </c>
      <c r="H20" s="3">
        <v>0</v>
      </c>
      <c r="I20" s="5">
        <f>E20*G20</f>
        <v>0</v>
      </c>
      <c r="J20" s="5">
        <f>E20*H20</f>
        <v>0</v>
      </c>
    </row>
    <row r="21" spans="1:10" ht="38.25" x14ac:dyDescent="0.2">
      <c r="A21" s="7">
        <f>1+A19</f>
        <v>3</v>
      </c>
      <c r="B21" s="2" t="s">
        <v>111</v>
      </c>
      <c r="D21" s="2" t="s">
        <v>139</v>
      </c>
      <c r="E21" s="1">
        <v>1</v>
      </c>
      <c r="F21" s="1" t="s">
        <v>35</v>
      </c>
      <c r="G21" s="3">
        <v>0</v>
      </c>
      <c r="H21" s="3">
        <v>0</v>
      </c>
      <c r="I21" s="5">
        <f>E21*G21</f>
        <v>0</v>
      </c>
      <c r="J21" s="5">
        <f>E21*H21</f>
        <v>0</v>
      </c>
    </row>
    <row r="22" spans="1:10" ht="51" x14ac:dyDescent="0.2">
      <c r="A22" s="7">
        <f>1+A21</f>
        <v>4</v>
      </c>
      <c r="B22" s="2" t="s">
        <v>111</v>
      </c>
      <c r="D22" s="2" t="s">
        <v>141</v>
      </c>
      <c r="E22" s="1">
        <v>5</v>
      </c>
      <c r="F22" s="1" t="s">
        <v>35</v>
      </c>
      <c r="G22" s="3">
        <v>0</v>
      </c>
      <c r="H22" s="3">
        <v>0</v>
      </c>
      <c r="I22" s="5">
        <f>E22*G22</f>
        <v>0</v>
      </c>
      <c r="J22" s="5">
        <f>E22*H22</f>
        <v>0</v>
      </c>
    </row>
    <row r="23" spans="1:10" ht="63.75" x14ac:dyDescent="0.2">
      <c r="A23" s="7">
        <f>1+A22</f>
        <v>5</v>
      </c>
      <c r="B23" s="2" t="s">
        <v>111</v>
      </c>
      <c r="D23" s="2" t="s">
        <v>142</v>
      </c>
      <c r="E23" s="1">
        <v>10</v>
      </c>
      <c r="F23" s="1" t="s">
        <v>35</v>
      </c>
      <c r="G23" s="3">
        <v>0</v>
      </c>
      <c r="H23" s="3">
        <v>0</v>
      </c>
      <c r="I23" s="5">
        <f>E23*G23</f>
        <v>0</v>
      </c>
      <c r="J23" s="5">
        <f>E23*H23</f>
        <v>0</v>
      </c>
    </row>
    <row r="24" spans="1:10" ht="191.25" x14ac:dyDescent="0.2">
      <c r="A24" s="7">
        <f>1+A23</f>
        <v>6</v>
      </c>
      <c r="B24" s="2" t="s">
        <v>111</v>
      </c>
      <c r="D24" s="6" t="s">
        <v>494</v>
      </c>
      <c r="G24" s="4"/>
    </row>
    <row r="25" spans="1:10" ht="76.5" x14ac:dyDescent="0.2">
      <c r="D25" s="2" t="s">
        <v>149</v>
      </c>
      <c r="E25" s="1">
        <v>1</v>
      </c>
      <c r="F25" s="1" t="s">
        <v>35</v>
      </c>
      <c r="G25" s="3">
        <v>0</v>
      </c>
      <c r="H25" s="3">
        <v>0</v>
      </c>
      <c r="I25" s="5">
        <f>E25*G25</f>
        <v>0</v>
      </c>
      <c r="J25" s="5">
        <f>E25*H25</f>
        <v>0</v>
      </c>
    </row>
    <row r="26" spans="1:10" ht="76.5" x14ac:dyDescent="0.2">
      <c r="A26" s="7">
        <f>1+A24</f>
        <v>7</v>
      </c>
      <c r="B26" s="2" t="s">
        <v>111</v>
      </c>
      <c r="D26" s="2" t="s">
        <v>144</v>
      </c>
      <c r="E26" s="3">
        <v>30.05</v>
      </c>
      <c r="F26" s="1" t="s">
        <v>11</v>
      </c>
      <c r="G26" s="3">
        <v>0</v>
      </c>
      <c r="H26" s="3">
        <v>0</v>
      </c>
      <c r="I26" s="5">
        <f>E26*G26</f>
        <v>0</v>
      </c>
      <c r="J26" s="5">
        <f>E26*H26</f>
        <v>0</v>
      </c>
    </row>
    <row r="27" spans="1:10" ht="76.5" x14ac:dyDescent="0.2">
      <c r="A27" s="7">
        <f>1+A26</f>
        <v>8</v>
      </c>
      <c r="C27" s="2" t="s">
        <v>146</v>
      </c>
      <c r="D27" s="6" t="s">
        <v>145</v>
      </c>
      <c r="E27" s="3">
        <f>E26</f>
        <v>30.05</v>
      </c>
      <c r="F27" s="1" t="s">
        <v>11</v>
      </c>
      <c r="G27" s="3">
        <v>0</v>
      </c>
      <c r="H27" s="3">
        <v>0</v>
      </c>
      <c r="I27" s="5">
        <f>E27*G27</f>
        <v>0</v>
      </c>
      <c r="J27" s="5">
        <f>E27*H27</f>
        <v>0</v>
      </c>
    </row>
    <row r="28" spans="1:10" ht="178.5" x14ac:dyDescent="0.2">
      <c r="A28" s="7">
        <f>1+A27</f>
        <v>9</v>
      </c>
      <c r="B28" s="2" t="s">
        <v>111</v>
      </c>
      <c r="D28" s="2" t="s">
        <v>152</v>
      </c>
    </row>
    <row r="29" spans="1:10" ht="51" x14ac:dyDescent="0.2">
      <c r="A29" s="7">
        <f>1+A28</f>
        <v>10</v>
      </c>
      <c r="B29" s="2" t="s">
        <v>111</v>
      </c>
      <c r="D29" s="2" t="s">
        <v>153</v>
      </c>
      <c r="E29" s="1">
        <v>1</v>
      </c>
      <c r="F29" s="1" t="s">
        <v>35</v>
      </c>
      <c r="G29" s="3">
        <v>0</v>
      </c>
      <c r="H29" s="3">
        <v>0</v>
      </c>
      <c r="I29" s="5">
        <f>E29*G29</f>
        <v>0</v>
      </c>
      <c r="J29" s="5">
        <f>E29*H29</f>
        <v>0</v>
      </c>
    </row>
    <row r="30" spans="1:10" ht="191.25" x14ac:dyDescent="0.2">
      <c r="A30" s="7">
        <f>1+A29</f>
        <v>11</v>
      </c>
      <c r="B30" s="2" t="s">
        <v>111</v>
      </c>
      <c r="D30" s="2" t="s">
        <v>496</v>
      </c>
    </row>
    <row r="31" spans="1:10" ht="102" x14ac:dyDescent="0.2">
      <c r="D31" s="2" t="s">
        <v>497</v>
      </c>
      <c r="E31" s="1">
        <v>1</v>
      </c>
      <c r="F31" s="1" t="s">
        <v>35</v>
      </c>
      <c r="G31" s="3">
        <v>0</v>
      </c>
      <c r="H31" s="3">
        <v>0</v>
      </c>
      <c r="I31" s="5">
        <f>E31*G31</f>
        <v>0</v>
      </c>
      <c r="J31" s="5">
        <f>E31*H31</f>
        <v>0</v>
      </c>
    </row>
    <row r="32" spans="1:10" ht="76.5" x14ac:dyDescent="0.2">
      <c r="A32" s="7">
        <f>1+A30</f>
        <v>12</v>
      </c>
      <c r="B32" s="2" t="s">
        <v>111</v>
      </c>
      <c r="D32" s="2" t="s">
        <v>151</v>
      </c>
      <c r="E32" s="1">
        <v>1</v>
      </c>
      <c r="F32" s="1" t="s">
        <v>35</v>
      </c>
      <c r="G32" s="3">
        <v>0</v>
      </c>
      <c r="H32" s="3">
        <v>0</v>
      </c>
      <c r="I32" s="5">
        <f>E32*G32</f>
        <v>0</v>
      </c>
      <c r="J32" s="5">
        <f>E32*H32</f>
        <v>0</v>
      </c>
    </row>
    <row r="33" spans="1:11" ht="191.25" x14ac:dyDescent="0.2">
      <c r="A33" s="7">
        <f>1+A32</f>
        <v>13</v>
      </c>
      <c r="B33" s="2" t="s">
        <v>111</v>
      </c>
      <c r="D33" s="2" t="s">
        <v>495</v>
      </c>
    </row>
    <row r="34" spans="1:11" ht="76.5" x14ac:dyDescent="0.2">
      <c r="D34" s="2" t="s">
        <v>150</v>
      </c>
      <c r="E34" s="1">
        <v>1</v>
      </c>
      <c r="F34" s="1" t="s">
        <v>35</v>
      </c>
      <c r="G34" s="3">
        <v>0</v>
      </c>
      <c r="H34" s="3">
        <v>0</v>
      </c>
      <c r="I34" s="5">
        <f t="shared" ref="I34:I40" si="3">E34*G34</f>
        <v>0</v>
      </c>
      <c r="J34" s="5">
        <f t="shared" ref="J34:J40" si="4">E34*H34</f>
        <v>0</v>
      </c>
    </row>
    <row r="35" spans="1:11" ht="102" x14ac:dyDescent="0.2">
      <c r="A35" s="7">
        <f>1+A33</f>
        <v>14</v>
      </c>
      <c r="B35" s="2" t="s">
        <v>22</v>
      </c>
      <c r="C35" s="2" t="s">
        <v>155</v>
      </c>
      <c r="D35" s="2" t="s">
        <v>154</v>
      </c>
      <c r="E35" s="1">
        <v>1</v>
      </c>
      <c r="F35" s="1" t="s">
        <v>35</v>
      </c>
      <c r="G35" s="3">
        <v>0</v>
      </c>
      <c r="H35" s="3">
        <v>0</v>
      </c>
      <c r="I35" s="5">
        <f t="shared" si="3"/>
        <v>0</v>
      </c>
      <c r="J35" s="5">
        <f t="shared" si="4"/>
        <v>0</v>
      </c>
    </row>
    <row r="36" spans="1:11" ht="76.5" x14ac:dyDescent="0.2">
      <c r="A36" s="7">
        <f t="shared" ref="A36:A47" si="5">1+A35</f>
        <v>15</v>
      </c>
      <c r="B36" s="2" t="s">
        <v>22</v>
      </c>
      <c r="C36" s="2" t="s">
        <v>155</v>
      </c>
      <c r="D36" s="2" t="s">
        <v>322</v>
      </c>
      <c r="E36" s="1">
        <v>1</v>
      </c>
      <c r="F36" s="1" t="s">
        <v>35</v>
      </c>
      <c r="G36" s="3">
        <v>0</v>
      </c>
      <c r="H36" s="3">
        <v>0</v>
      </c>
      <c r="I36" s="5">
        <f t="shared" si="3"/>
        <v>0</v>
      </c>
      <c r="J36" s="5">
        <f t="shared" si="4"/>
        <v>0</v>
      </c>
    </row>
    <row r="37" spans="1:11" ht="76.5" x14ac:dyDescent="0.2">
      <c r="A37" s="7">
        <f t="shared" si="5"/>
        <v>16</v>
      </c>
      <c r="B37" s="2" t="s">
        <v>22</v>
      </c>
      <c r="C37" s="2" t="s">
        <v>156</v>
      </c>
      <c r="D37" s="2" t="s">
        <v>179</v>
      </c>
      <c r="E37" s="1">
        <v>6</v>
      </c>
      <c r="F37" s="1" t="s">
        <v>35</v>
      </c>
      <c r="G37" s="3">
        <v>0</v>
      </c>
      <c r="H37" s="3">
        <v>0</v>
      </c>
      <c r="I37" s="5">
        <f t="shared" si="3"/>
        <v>0</v>
      </c>
      <c r="J37" s="5">
        <f t="shared" si="4"/>
        <v>0</v>
      </c>
    </row>
    <row r="38" spans="1:11" ht="38.25" x14ac:dyDescent="0.2">
      <c r="A38" s="7">
        <f t="shared" si="5"/>
        <v>17</v>
      </c>
      <c r="B38" s="2" t="s">
        <v>22</v>
      </c>
      <c r="C38" s="2" t="s">
        <v>46</v>
      </c>
      <c r="D38" s="2" t="s">
        <v>49</v>
      </c>
      <c r="E38" s="3">
        <f>1770*0.8*0.2</f>
        <v>283.2</v>
      </c>
      <c r="F38" s="1" t="s">
        <v>47</v>
      </c>
      <c r="G38" s="3">
        <v>0</v>
      </c>
      <c r="H38" s="3">
        <v>0</v>
      </c>
      <c r="I38" s="5">
        <f t="shared" si="3"/>
        <v>0</v>
      </c>
      <c r="J38" s="5">
        <f t="shared" si="4"/>
        <v>0</v>
      </c>
      <c r="K38" s="3"/>
    </row>
    <row r="39" spans="1:11" ht="38.25" x14ac:dyDescent="0.2">
      <c r="A39" s="7">
        <f t="shared" si="5"/>
        <v>18</v>
      </c>
      <c r="B39" s="2" t="s">
        <v>22</v>
      </c>
      <c r="C39" s="2" t="s">
        <v>48</v>
      </c>
      <c r="D39" s="2" t="s">
        <v>50</v>
      </c>
      <c r="E39" s="3">
        <f>177*2</f>
        <v>354</v>
      </c>
      <c r="F39" s="1" t="s">
        <v>11</v>
      </c>
      <c r="G39" s="3">
        <v>0</v>
      </c>
      <c r="H39" s="3">
        <v>0</v>
      </c>
      <c r="I39" s="5">
        <f t="shared" si="3"/>
        <v>0</v>
      </c>
      <c r="J39" s="5">
        <f t="shared" si="4"/>
        <v>0</v>
      </c>
    </row>
    <row r="40" spans="1:11" ht="51" x14ac:dyDescent="0.2">
      <c r="A40" s="7">
        <f t="shared" si="5"/>
        <v>19</v>
      </c>
      <c r="B40" s="2" t="s">
        <v>111</v>
      </c>
      <c r="D40" s="2" t="s">
        <v>143</v>
      </c>
      <c r="E40" s="3">
        <v>136.97999999999999</v>
      </c>
      <c r="F40" s="1" t="s">
        <v>11</v>
      </c>
      <c r="G40" s="3">
        <v>0</v>
      </c>
      <c r="H40" s="3">
        <v>0</v>
      </c>
      <c r="I40" s="5">
        <f t="shared" si="3"/>
        <v>0</v>
      </c>
      <c r="J40" s="5">
        <f t="shared" si="4"/>
        <v>0</v>
      </c>
    </row>
    <row r="41" spans="1:11" x14ac:dyDescent="0.2">
      <c r="E41" s="3"/>
    </row>
    <row r="42" spans="1:11" s="66" customFormat="1" x14ac:dyDescent="0.2">
      <c r="A42" s="132" t="s">
        <v>159</v>
      </c>
      <c r="B42" s="132"/>
      <c r="C42" s="132"/>
      <c r="D42" s="132"/>
      <c r="E42" s="10"/>
      <c r="F42" s="8"/>
      <c r="G42" s="9"/>
      <c r="H42" s="9"/>
      <c r="I42" s="10">
        <f>SUM(I17:I41)</f>
        <v>0</v>
      </c>
      <c r="J42" s="10">
        <f>SUM(J17:J41)</f>
        <v>0</v>
      </c>
    </row>
    <row r="43" spans="1:11" x14ac:dyDescent="0.2">
      <c r="E43" s="3"/>
    </row>
    <row r="44" spans="1:11" x14ac:dyDescent="0.2">
      <c r="E44" s="3"/>
    </row>
    <row r="45" spans="1:11" ht="38.25" x14ac:dyDescent="0.2">
      <c r="A45" s="7">
        <v>1</v>
      </c>
      <c r="B45" s="2" t="s">
        <v>111</v>
      </c>
      <c r="D45" s="2" t="s">
        <v>112</v>
      </c>
      <c r="E45" s="3">
        <v>177</v>
      </c>
      <c r="F45" s="1" t="s">
        <v>11</v>
      </c>
      <c r="G45" s="3">
        <v>0</v>
      </c>
      <c r="H45" s="3">
        <v>0</v>
      </c>
      <c r="I45" s="5">
        <f>E45*G45</f>
        <v>0</v>
      </c>
      <c r="J45" s="5">
        <f>E45*H45</f>
        <v>0</v>
      </c>
    </row>
    <row r="46" spans="1:11" ht="102" x14ac:dyDescent="0.2">
      <c r="A46" s="7">
        <f t="shared" si="5"/>
        <v>2</v>
      </c>
      <c r="C46" s="2" t="s">
        <v>115</v>
      </c>
      <c r="D46" s="2" t="s">
        <v>114</v>
      </c>
      <c r="E46" s="1">
        <f>+E45*0.75</f>
        <v>132.75</v>
      </c>
      <c r="F46" s="1" t="s">
        <v>1</v>
      </c>
      <c r="G46" s="3">
        <v>0</v>
      </c>
      <c r="H46" s="3">
        <v>0</v>
      </c>
      <c r="I46" s="5">
        <f>E46*G46</f>
        <v>0</v>
      </c>
      <c r="J46" s="5">
        <f>E46*H46</f>
        <v>0</v>
      </c>
    </row>
    <row r="47" spans="1:11" ht="89.25" x14ac:dyDescent="0.2">
      <c r="A47" s="7">
        <f t="shared" si="5"/>
        <v>3</v>
      </c>
      <c r="C47" s="2" t="s">
        <v>117</v>
      </c>
      <c r="D47" s="2" t="s">
        <v>116</v>
      </c>
      <c r="E47" s="1">
        <f>E46</f>
        <v>132.75</v>
      </c>
      <c r="F47" s="1" t="s">
        <v>1</v>
      </c>
      <c r="G47" s="3">
        <v>0</v>
      </c>
      <c r="H47" s="3">
        <v>0</v>
      </c>
      <c r="I47" s="5">
        <f>E47*G47</f>
        <v>0</v>
      </c>
      <c r="J47" s="5">
        <f>E47*H47</f>
        <v>0</v>
      </c>
    </row>
    <row r="49" spans="1:10" s="66" customFormat="1" x14ac:dyDescent="0.2">
      <c r="A49" s="132" t="s">
        <v>160</v>
      </c>
      <c r="B49" s="132"/>
      <c r="C49" s="132"/>
      <c r="D49" s="132"/>
      <c r="E49" s="10"/>
      <c r="F49" s="8"/>
      <c r="G49" s="9"/>
      <c r="H49" s="9"/>
      <c r="I49" s="10">
        <f>SUM(I45:I48)</f>
        <v>0</v>
      </c>
      <c r="J49" s="10">
        <f>SUM(J45:J48)</f>
        <v>0</v>
      </c>
    </row>
  </sheetData>
  <mergeCells count="6">
    <mergeCell ref="A14:D14"/>
    <mergeCell ref="A42:D42"/>
    <mergeCell ref="A49:D49"/>
    <mergeCell ref="A1:J1"/>
    <mergeCell ref="A2:J2"/>
    <mergeCell ref="A4:J4"/>
  </mergeCells>
  <pageMargins left="0.70866141732283472" right="0.70866141732283472" top="0.74803149606299213" bottom="0.74803149606299213" header="0.31496062992125984" footer="0.31496062992125984"/>
  <pageSetup paperSize="9" scale="79" fitToHeight="100" orientation="portrait" r:id="rId1"/>
  <headerFooter>
    <oddFooter>&amp;C&amp;P/&amp;N&amp;RAjánlattevő</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tabSelected="1" workbookViewId="0">
      <selection activeCell="I12" sqref="I12"/>
    </sheetView>
  </sheetViews>
  <sheetFormatPr defaultRowHeight="12.75" x14ac:dyDescent="0.2"/>
  <cols>
    <col min="1" max="1" width="4.7109375" style="7" customWidth="1"/>
    <col min="2" max="2" width="3.7109375" style="2" customWidth="1"/>
    <col min="3" max="3" width="12.7109375" style="2" customWidth="1"/>
    <col min="4" max="4" width="35.7109375" style="2" customWidth="1"/>
    <col min="5" max="6" width="9.140625" style="1"/>
    <col min="7" max="8" width="9.140625" style="3"/>
    <col min="9" max="10" width="9.140625" style="5"/>
    <col min="11" max="16384" width="9.140625" style="1"/>
  </cols>
  <sheetData>
    <row r="1" spans="1:10" ht="14.25" x14ac:dyDescent="0.2">
      <c r="A1" s="133" t="str">
        <f>Főösszesítő!A1</f>
        <v>BÉKÉSSÁMSON KÖZSÉG ÖNKORMÁNYZATA</v>
      </c>
      <c r="B1" s="133"/>
      <c r="C1" s="133"/>
      <c r="D1" s="133"/>
      <c r="E1" s="133"/>
      <c r="F1" s="133"/>
      <c r="G1" s="133"/>
      <c r="H1" s="133"/>
      <c r="I1" s="133"/>
      <c r="J1" s="133"/>
    </row>
    <row r="2" spans="1:10" ht="14.25" x14ac:dyDescent="0.2">
      <c r="A2" s="134" t="str">
        <f>Főösszesítő!A2</f>
        <v>5495 BÉKÉSSÁMSON, HŐSÖK TERE 10-12. - PH ENERGETIKAI FELÚJÍTÁSA</v>
      </c>
      <c r="B2" s="134"/>
      <c r="C2" s="134"/>
      <c r="D2" s="134"/>
      <c r="E2" s="134"/>
      <c r="F2" s="134"/>
      <c r="G2" s="134"/>
      <c r="H2" s="134"/>
      <c r="I2" s="134"/>
      <c r="J2" s="134"/>
    </row>
    <row r="3" spans="1:10" ht="15" x14ac:dyDescent="0.25">
      <c r="A3" s="67"/>
      <c r="B3" s="68"/>
      <c r="C3" s="69"/>
      <c r="D3" s="70"/>
      <c r="E3" s="71"/>
      <c r="F3" s="72"/>
      <c r="G3" s="72"/>
      <c r="H3" s="72"/>
      <c r="I3" s="72"/>
      <c r="J3" s="73"/>
    </row>
    <row r="4" spans="1:10" ht="15.75" x14ac:dyDescent="0.25">
      <c r="A4" s="135" t="s">
        <v>402</v>
      </c>
      <c r="B4" s="135"/>
      <c r="C4" s="135"/>
      <c r="D4" s="135"/>
      <c r="E4" s="135"/>
      <c r="F4" s="135"/>
      <c r="G4" s="135"/>
      <c r="H4" s="135"/>
      <c r="I4" s="135"/>
      <c r="J4" s="135"/>
    </row>
    <row r="5" spans="1:10" ht="25.5" x14ac:dyDescent="0.2">
      <c r="A5" s="74" t="s">
        <v>389</v>
      </c>
      <c r="B5" s="74"/>
      <c r="C5" s="75" t="s">
        <v>390</v>
      </c>
      <c r="D5" s="75" t="s">
        <v>391</v>
      </c>
      <c r="E5" s="76" t="s">
        <v>392</v>
      </c>
      <c r="F5" s="75" t="s">
        <v>393</v>
      </c>
      <c r="G5" s="77" t="s">
        <v>394</v>
      </c>
      <c r="H5" s="77" t="s">
        <v>395</v>
      </c>
      <c r="I5" s="78" t="s">
        <v>396</v>
      </c>
      <c r="J5" s="78" t="s">
        <v>397</v>
      </c>
    </row>
    <row r="6" spans="1:10" x14ac:dyDescent="0.2">
      <c r="A6" s="79"/>
      <c r="B6" s="79"/>
      <c r="C6" s="79"/>
      <c r="D6" s="79"/>
      <c r="E6" s="80"/>
      <c r="F6" s="80"/>
      <c r="G6" s="81"/>
      <c r="H6" s="81"/>
      <c r="I6" s="73"/>
      <c r="J6" s="73"/>
    </row>
    <row r="7" spans="1:10" ht="38.25" x14ac:dyDescent="0.2">
      <c r="A7" s="7">
        <v>1</v>
      </c>
      <c r="C7" s="2" t="s">
        <v>52</v>
      </c>
      <c r="D7" s="2" t="s">
        <v>51</v>
      </c>
      <c r="E7" s="3">
        <f>(130.76)*0.15</f>
        <v>19.613999999999997</v>
      </c>
      <c r="F7" s="1" t="s">
        <v>53</v>
      </c>
      <c r="G7" s="3">
        <v>0</v>
      </c>
      <c r="H7" s="3">
        <v>0</v>
      </c>
      <c r="I7" s="5">
        <f>E7*G7</f>
        <v>0</v>
      </c>
      <c r="J7" s="5">
        <f>E7*H7</f>
        <v>0</v>
      </c>
    </row>
    <row r="8" spans="1:10" ht="51" x14ac:dyDescent="0.2">
      <c r="A8" s="7">
        <f>1+A7</f>
        <v>2</v>
      </c>
      <c r="C8" s="2" t="s">
        <v>59</v>
      </c>
      <c r="D8" s="2" t="s">
        <v>58</v>
      </c>
      <c r="E8" s="3">
        <f>(130.76)*0.35</f>
        <v>45.765999999999991</v>
      </c>
      <c r="F8" s="1" t="s">
        <v>53</v>
      </c>
      <c r="G8" s="3">
        <v>0</v>
      </c>
      <c r="H8" s="3">
        <v>0</v>
      </c>
      <c r="I8" s="5">
        <f>E8*G8</f>
        <v>0</v>
      </c>
      <c r="J8" s="5">
        <f>E8*H8</f>
        <v>0</v>
      </c>
    </row>
    <row r="9" spans="1:10" ht="51" x14ac:dyDescent="0.2">
      <c r="A9" s="7">
        <f>1+A8</f>
        <v>3</v>
      </c>
      <c r="C9" s="2" t="s">
        <v>55</v>
      </c>
      <c r="D9" s="2" t="s">
        <v>54</v>
      </c>
      <c r="E9" s="3">
        <f>SUM(E7:E8)*1.35</f>
        <v>88.263000000000005</v>
      </c>
      <c r="F9" s="1" t="s">
        <v>53</v>
      </c>
      <c r="G9" s="3">
        <v>0</v>
      </c>
      <c r="H9" s="3">
        <v>0</v>
      </c>
      <c r="I9" s="5">
        <f>E9*G9</f>
        <v>0</v>
      </c>
      <c r="J9" s="5">
        <f>E9*H9</f>
        <v>0</v>
      </c>
    </row>
    <row r="10" spans="1:10" ht="38.25" x14ac:dyDescent="0.2">
      <c r="A10" s="7">
        <f>1+A9</f>
        <v>4</v>
      </c>
      <c r="B10" s="2" t="s">
        <v>22</v>
      </c>
      <c r="C10" s="2" t="s">
        <v>57</v>
      </c>
      <c r="D10" s="2" t="s">
        <v>164</v>
      </c>
      <c r="E10" s="1">
        <v>18</v>
      </c>
      <c r="F10" s="1" t="s">
        <v>35</v>
      </c>
      <c r="G10" s="3">
        <v>0</v>
      </c>
      <c r="H10" s="3">
        <v>0</v>
      </c>
      <c r="I10" s="5">
        <f>E10*G10</f>
        <v>0</v>
      </c>
      <c r="J10" s="5">
        <f>E10*H10</f>
        <v>0</v>
      </c>
    </row>
    <row r="12" spans="1:10" x14ac:dyDescent="0.2">
      <c r="A12" s="132" t="s">
        <v>158</v>
      </c>
      <c r="B12" s="132"/>
      <c r="C12" s="132"/>
      <c r="D12" s="132"/>
      <c r="E12" s="8"/>
      <c r="F12" s="8"/>
      <c r="G12" s="9"/>
      <c r="H12" s="9"/>
      <c r="I12" s="10">
        <f>SUM(I7:I11)</f>
        <v>0</v>
      </c>
      <c r="J12" s="10">
        <f>SUM(J7:J11)</f>
        <v>0</v>
      </c>
    </row>
    <row r="15" spans="1:10" ht="89.25" x14ac:dyDescent="0.2">
      <c r="A15" s="7">
        <v>1</v>
      </c>
      <c r="C15" s="2" t="s">
        <v>61</v>
      </c>
      <c r="D15" s="2" t="s">
        <v>60</v>
      </c>
      <c r="E15" s="3">
        <f>(130.76)*0.15</f>
        <v>19.613999999999997</v>
      </c>
      <c r="F15" s="1" t="s">
        <v>53</v>
      </c>
      <c r="G15" s="3">
        <v>0</v>
      </c>
      <c r="H15" s="3">
        <v>0</v>
      </c>
      <c r="I15" s="5">
        <f>E15*G15</f>
        <v>0</v>
      </c>
      <c r="J15" s="5">
        <f>E15*H15</f>
        <v>0</v>
      </c>
    </row>
    <row r="16" spans="1:10" ht="25.5" x14ac:dyDescent="0.2">
      <c r="A16" s="7">
        <f>1+A15</f>
        <v>2</v>
      </c>
      <c r="C16" s="2" t="s">
        <v>63</v>
      </c>
      <c r="D16" s="2" t="s">
        <v>62</v>
      </c>
      <c r="E16" s="3">
        <f>E15</f>
        <v>19.613999999999997</v>
      </c>
      <c r="F16" s="1" t="s">
        <v>53</v>
      </c>
      <c r="G16" s="3">
        <v>0</v>
      </c>
      <c r="H16" s="3">
        <v>0</v>
      </c>
      <c r="I16" s="5">
        <f>E16*G16</f>
        <v>0</v>
      </c>
      <c r="J16" s="5">
        <f>E16*H16</f>
        <v>0</v>
      </c>
    </row>
    <row r="18" spans="1:10" x14ac:dyDescent="0.2">
      <c r="A18" s="132" t="s">
        <v>165</v>
      </c>
      <c r="B18" s="132"/>
      <c r="C18" s="132"/>
      <c r="D18" s="132"/>
      <c r="E18" s="8"/>
      <c r="F18" s="8"/>
      <c r="G18" s="9"/>
      <c r="H18" s="9"/>
      <c r="I18" s="10">
        <f>SUM(I15:I17)</f>
        <v>0</v>
      </c>
      <c r="J18" s="10">
        <f>SUM(J15:J17)</f>
        <v>0</v>
      </c>
    </row>
    <row r="21" spans="1:10" ht="25.5" x14ac:dyDescent="0.2">
      <c r="A21" s="7">
        <v>1</v>
      </c>
      <c r="C21" s="2" t="s">
        <v>65</v>
      </c>
      <c r="D21" s="2" t="s">
        <v>64</v>
      </c>
      <c r="E21" s="3">
        <f>(21.77+23.73+19.69+21.59)</f>
        <v>86.78</v>
      </c>
      <c r="F21" s="1" t="s">
        <v>11</v>
      </c>
      <c r="G21" s="3">
        <v>0</v>
      </c>
      <c r="H21" s="3">
        <v>0</v>
      </c>
      <c r="I21" s="5">
        <f>E21*G21</f>
        <v>0</v>
      </c>
      <c r="J21" s="5">
        <f>E21*H21</f>
        <v>0</v>
      </c>
    </row>
    <row r="22" spans="1:10" ht="127.5" x14ac:dyDescent="0.2">
      <c r="A22" s="7">
        <f>1+A21</f>
        <v>2</v>
      </c>
      <c r="C22" s="2" t="s">
        <v>67</v>
      </c>
      <c r="D22" s="2" t="s">
        <v>66</v>
      </c>
      <c r="E22" s="3">
        <f>(130.76)*0.1</f>
        <v>13.076000000000001</v>
      </c>
      <c r="F22" s="1" t="s">
        <v>53</v>
      </c>
      <c r="G22" s="3">
        <v>0</v>
      </c>
      <c r="H22" s="3">
        <v>0</v>
      </c>
      <c r="I22" s="5">
        <f>E22*G22</f>
        <v>0</v>
      </c>
      <c r="J22" s="5">
        <f>E22*H22</f>
        <v>0</v>
      </c>
    </row>
    <row r="23" spans="1:10" ht="63.75" x14ac:dyDescent="0.2">
      <c r="A23" s="7">
        <f>1+A22</f>
        <v>3</v>
      </c>
      <c r="B23" s="2" t="s">
        <v>22</v>
      </c>
      <c r="C23" s="2" t="s">
        <v>81</v>
      </c>
      <c r="D23" s="2" t="s">
        <v>80</v>
      </c>
      <c r="E23" s="3">
        <f>(130.76)*21.73/5/2.15</f>
        <v>264.31765581395348</v>
      </c>
      <c r="F23" s="1" t="s">
        <v>82</v>
      </c>
      <c r="G23" s="3">
        <v>0</v>
      </c>
      <c r="H23" s="3">
        <v>0</v>
      </c>
      <c r="I23" s="5">
        <f>E23*G23</f>
        <v>0</v>
      </c>
      <c r="J23" s="5">
        <f>E23*H23</f>
        <v>0</v>
      </c>
    </row>
    <row r="24" spans="1:10" ht="51" x14ac:dyDescent="0.2">
      <c r="A24" s="7">
        <f>1+A23</f>
        <v>4</v>
      </c>
      <c r="C24" s="2" t="s">
        <v>79</v>
      </c>
      <c r="D24" s="2" t="s">
        <v>78</v>
      </c>
      <c r="E24" s="3">
        <f>(130.76)</f>
        <v>130.76</v>
      </c>
      <c r="F24" s="1" t="s">
        <v>1</v>
      </c>
      <c r="G24" s="3">
        <v>0</v>
      </c>
      <c r="H24" s="3">
        <v>0</v>
      </c>
      <c r="I24" s="5">
        <f>E24*G24</f>
        <v>0</v>
      </c>
      <c r="J24" s="5">
        <f>E24*H24</f>
        <v>0</v>
      </c>
    </row>
    <row r="25" spans="1:10" ht="63.75" x14ac:dyDescent="0.2">
      <c r="A25" s="7">
        <f>1+A24</f>
        <v>5</v>
      </c>
      <c r="B25" s="2" t="s">
        <v>22</v>
      </c>
      <c r="C25" s="2" t="s">
        <v>83</v>
      </c>
      <c r="D25" s="2" t="s">
        <v>296</v>
      </c>
      <c r="E25" s="3">
        <f>(130.76)*8.16/2/1</f>
        <v>533.50080000000003</v>
      </c>
      <c r="F25" s="1" t="s">
        <v>82</v>
      </c>
      <c r="G25" s="3">
        <v>0</v>
      </c>
      <c r="H25" s="3">
        <v>0</v>
      </c>
      <c r="I25" s="5">
        <f>E25*G25</f>
        <v>0</v>
      </c>
      <c r="J25" s="5">
        <f>E25*H25</f>
        <v>0</v>
      </c>
    </row>
    <row r="27" spans="1:10" x14ac:dyDescent="0.2">
      <c r="A27" s="132" t="s">
        <v>166</v>
      </c>
      <c r="B27" s="132"/>
      <c r="C27" s="132"/>
      <c r="D27" s="132"/>
      <c r="E27" s="8"/>
      <c r="F27" s="8"/>
      <c r="G27" s="9"/>
      <c r="H27" s="9"/>
      <c r="I27" s="10">
        <f>SUM(I21:I26)</f>
        <v>0</v>
      </c>
      <c r="J27" s="10">
        <f>SUM(J21:J26)</f>
        <v>0</v>
      </c>
    </row>
    <row r="30" spans="1:10" ht="76.5" x14ac:dyDescent="0.2">
      <c r="A30" s="7">
        <v>1</v>
      </c>
      <c r="C30" s="2" t="s">
        <v>85</v>
      </c>
      <c r="D30" s="2" t="s">
        <v>84</v>
      </c>
      <c r="E30" s="3">
        <f>4.61</f>
        <v>4.6100000000000003</v>
      </c>
      <c r="F30" s="1" t="s">
        <v>1</v>
      </c>
      <c r="G30" s="3">
        <v>0</v>
      </c>
      <c r="H30" s="3">
        <v>0</v>
      </c>
      <c r="I30" s="5">
        <f t="shared" ref="I30:I37" si="0">E30*G30</f>
        <v>0</v>
      </c>
      <c r="J30" s="5">
        <f t="shared" ref="J30:J37" si="1">E30*H30</f>
        <v>0</v>
      </c>
    </row>
    <row r="31" spans="1:10" ht="127.5" x14ac:dyDescent="0.2">
      <c r="A31" s="7">
        <f t="shared" ref="A31:A37" si="2">1+A30</f>
        <v>2</v>
      </c>
      <c r="B31" s="2" t="s">
        <v>22</v>
      </c>
      <c r="C31" s="2" t="s">
        <v>86</v>
      </c>
      <c r="D31" s="6" t="s">
        <v>534</v>
      </c>
      <c r="E31" s="3">
        <f>E30</f>
        <v>4.6100000000000003</v>
      </c>
      <c r="F31" s="1" t="s">
        <v>1</v>
      </c>
      <c r="G31" s="3">
        <v>0</v>
      </c>
      <c r="H31" s="3">
        <v>0</v>
      </c>
      <c r="I31" s="5">
        <f t="shared" si="0"/>
        <v>0</v>
      </c>
      <c r="J31" s="5">
        <f t="shared" si="1"/>
        <v>0</v>
      </c>
    </row>
    <row r="32" spans="1:10" ht="114.75" x14ac:dyDescent="0.2">
      <c r="A32" s="7">
        <f t="shared" si="2"/>
        <v>3</v>
      </c>
      <c r="C32" s="2" t="s">
        <v>88</v>
      </c>
      <c r="D32" s="2" t="s">
        <v>87</v>
      </c>
      <c r="E32" s="3">
        <f>(121.22+8.97)+(2.4+0.8)*2.5</f>
        <v>138.19</v>
      </c>
      <c r="F32" s="1" t="s">
        <v>1</v>
      </c>
      <c r="G32" s="3">
        <v>0</v>
      </c>
      <c r="H32" s="3">
        <v>0</v>
      </c>
      <c r="I32" s="5">
        <f t="shared" si="0"/>
        <v>0</v>
      </c>
      <c r="J32" s="5">
        <f t="shared" si="1"/>
        <v>0</v>
      </c>
    </row>
    <row r="33" spans="1:11" ht="51" x14ac:dyDescent="0.2">
      <c r="A33" s="7">
        <f t="shared" si="2"/>
        <v>4</v>
      </c>
      <c r="B33" s="2" t="s">
        <v>22</v>
      </c>
      <c r="C33" s="2" t="s">
        <v>89</v>
      </c>
      <c r="D33" s="6" t="s">
        <v>93</v>
      </c>
      <c r="E33" s="4">
        <f>E32</f>
        <v>138.19</v>
      </c>
      <c r="F33" s="11" t="s">
        <v>1</v>
      </c>
      <c r="G33" s="3">
        <v>0</v>
      </c>
      <c r="H33" s="3">
        <v>0</v>
      </c>
      <c r="I33" s="5">
        <f t="shared" si="0"/>
        <v>0</v>
      </c>
      <c r="J33" s="5">
        <f t="shared" si="1"/>
        <v>0</v>
      </c>
    </row>
    <row r="34" spans="1:11" ht="76.5" x14ac:dyDescent="0.2">
      <c r="A34" s="7">
        <f t="shared" si="2"/>
        <v>5</v>
      </c>
      <c r="C34" s="2" t="s">
        <v>91</v>
      </c>
      <c r="D34" s="2" t="s">
        <v>90</v>
      </c>
      <c r="E34" s="3">
        <f>E33</f>
        <v>138.19</v>
      </c>
      <c r="F34" s="1" t="s">
        <v>1</v>
      </c>
      <c r="G34" s="3">
        <v>0</v>
      </c>
      <c r="H34" s="3">
        <v>0</v>
      </c>
      <c r="I34" s="5">
        <f t="shared" si="0"/>
        <v>0</v>
      </c>
      <c r="J34" s="5">
        <f t="shared" si="1"/>
        <v>0</v>
      </c>
    </row>
    <row r="35" spans="1:11" s="5" customFormat="1" ht="76.5" x14ac:dyDescent="0.2">
      <c r="A35" s="7">
        <f t="shared" si="2"/>
        <v>6</v>
      </c>
      <c r="B35" s="2" t="s">
        <v>22</v>
      </c>
      <c r="C35" s="2" t="s">
        <v>92</v>
      </c>
      <c r="D35" s="2" t="s">
        <v>94</v>
      </c>
      <c r="E35" s="3">
        <f>100.3+12.42</f>
        <v>112.72</v>
      </c>
      <c r="F35" s="1" t="s">
        <v>11</v>
      </c>
      <c r="G35" s="3">
        <v>0</v>
      </c>
      <c r="H35" s="3">
        <v>0</v>
      </c>
      <c r="I35" s="5">
        <f t="shared" si="0"/>
        <v>0</v>
      </c>
      <c r="J35" s="5">
        <f t="shared" si="1"/>
        <v>0</v>
      </c>
      <c r="K35" s="1"/>
    </row>
    <row r="36" spans="1:11" s="5" customFormat="1" ht="89.25" x14ac:dyDescent="0.2">
      <c r="A36" s="7">
        <f t="shared" si="2"/>
        <v>7</v>
      </c>
      <c r="B36" s="2"/>
      <c r="C36" s="2" t="s">
        <v>302</v>
      </c>
      <c r="D36" s="2" t="s">
        <v>301</v>
      </c>
      <c r="E36" s="3">
        <f>0.95*8+1.39*5+1*2</f>
        <v>16.549999999999997</v>
      </c>
      <c r="F36" s="1" t="s">
        <v>11</v>
      </c>
      <c r="G36" s="3">
        <v>0</v>
      </c>
      <c r="H36" s="3">
        <v>0</v>
      </c>
      <c r="I36" s="5">
        <f t="shared" si="0"/>
        <v>0</v>
      </c>
      <c r="J36" s="5">
        <f t="shared" si="1"/>
        <v>0</v>
      </c>
      <c r="K36" s="1"/>
    </row>
    <row r="37" spans="1:11" s="5" customFormat="1" ht="114.75" x14ac:dyDescent="0.2">
      <c r="A37" s="7">
        <f t="shared" si="2"/>
        <v>8</v>
      </c>
      <c r="B37" s="2"/>
      <c r="C37" s="2" t="s">
        <v>532</v>
      </c>
      <c r="D37" s="2" t="s">
        <v>531</v>
      </c>
      <c r="E37" s="3">
        <f>6*2.5</f>
        <v>15</v>
      </c>
      <c r="F37" s="1" t="s">
        <v>11</v>
      </c>
      <c r="G37" s="3">
        <v>0</v>
      </c>
      <c r="H37" s="3">
        <v>0</v>
      </c>
      <c r="I37" s="5">
        <f t="shared" si="0"/>
        <v>0</v>
      </c>
      <c r="J37" s="5">
        <f t="shared" si="1"/>
        <v>0</v>
      </c>
      <c r="K37" s="1"/>
    </row>
    <row r="38" spans="1:11" s="5" customFormat="1" x14ac:dyDescent="0.2">
      <c r="A38" s="7"/>
      <c r="B38" s="2"/>
      <c r="C38" s="2"/>
      <c r="D38" s="2"/>
      <c r="E38" s="1"/>
      <c r="F38" s="1"/>
      <c r="G38" s="4"/>
      <c r="H38" s="4"/>
      <c r="K38" s="1"/>
    </row>
    <row r="39" spans="1:11" x14ac:dyDescent="0.2">
      <c r="A39" s="132" t="s">
        <v>169</v>
      </c>
      <c r="B39" s="132"/>
      <c r="C39" s="132"/>
      <c r="D39" s="132"/>
      <c r="E39" s="8"/>
      <c r="F39" s="8"/>
      <c r="G39" s="9"/>
      <c r="H39" s="9"/>
      <c r="I39" s="10">
        <f>SUM(I30:I38)</f>
        <v>0</v>
      </c>
      <c r="J39" s="10">
        <f>SUM(J30:J38)</f>
        <v>0</v>
      </c>
    </row>
    <row r="40" spans="1:11" s="5" customFormat="1" x14ac:dyDescent="0.2">
      <c r="A40" s="7"/>
      <c r="B40" s="2"/>
      <c r="C40" s="2"/>
      <c r="D40" s="2"/>
      <c r="E40" s="1"/>
      <c r="F40" s="1"/>
      <c r="G40" s="4"/>
      <c r="H40" s="4"/>
      <c r="K40" s="1"/>
    </row>
    <row r="41" spans="1:11" s="5" customFormat="1" x14ac:dyDescent="0.2">
      <c r="A41" s="7"/>
      <c r="B41" s="2"/>
      <c r="C41" s="2"/>
      <c r="D41" s="2"/>
      <c r="E41" s="1"/>
      <c r="F41" s="1"/>
      <c r="G41" s="4"/>
      <c r="H41" s="4"/>
      <c r="K41" s="1"/>
    </row>
    <row r="42" spans="1:11" ht="76.5" x14ac:dyDescent="0.2">
      <c r="A42" s="7">
        <v>1</v>
      </c>
      <c r="C42" s="2" t="s">
        <v>69</v>
      </c>
      <c r="D42" s="2" t="s">
        <v>68</v>
      </c>
      <c r="E42" s="3">
        <f>(130.76)</f>
        <v>130.76</v>
      </c>
      <c r="F42" s="1" t="s">
        <v>1</v>
      </c>
      <c r="G42" s="3">
        <v>0</v>
      </c>
      <c r="H42" s="3">
        <v>0</v>
      </c>
      <c r="I42" s="5">
        <f t="shared" ref="I42:I49" si="3">E42*G42</f>
        <v>0</v>
      </c>
      <c r="J42" s="5">
        <f t="shared" ref="J42:J49" si="4">E42*H42</f>
        <v>0</v>
      </c>
    </row>
    <row r="43" spans="1:11" ht="76.5" x14ac:dyDescent="0.2">
      <c r="A43" s="7">
        <f>1+A42</f>
        <v>2</v>
      </c>
      <c r="C43" s="2" t="s">
        <v>298</v>
      </c>
      <c r="D43" s="2" t="s">
        <v>297</v>
      </c>
      <c r="E43" s="3">
        <f>(95.68)*0.2</f>
        <v>19.136000000000003</v>
      </c>
      <c r="F43" s="1" t="s">
        <v>1</v>
      </c>
      <c r="G43" s="3">
        <v>0</v>
      </c>
      <c r="H43" s="3">
        <v>0</v>
      </c>
      <c r="I43" s="5">
        <f t="shared" si="3"/>
        <v>0</v>
      </c>
      <c r="J43" s="5">
        <f t="shared" si="4"/>
        <v>0</v>
      </c>
    </row>
    <row r="44" spans="1:11" ht="140.25" x14ac:dyDescent="0.2">
      <c r="A44" s="7">
        <f t="shared" ref="A44:A45" si="5">1+A43</f>
        <v>3</v>
      </c>
      <c r="C44" s="2" t="s">
        <v>300</v>
      </c>
      <c r="D44" s="2" t="s">
        <v>299</v>
      </c>
      <c r="E44" s="3">
        <f>E43</f>
        <v>19.136000000000003</v>
      </c>
      <c r="F44" s="1" t="s">
        <v>1</v>
      </c>
      <c r="G44" s="3">
        <v>0</v>
      </c>
      <c r="H44" s="3">
        <v>0</v>
      </c>
      <c r="I44" s="5">
        <f t="shared" si="3"/>
        <v>0</v>
      </c>
      <c r="J44" s="5">
        <f t="shared" si="4"/>
        <v>0</v>
      </c>
    </row>
    <row r="45" spans="1:11" ht="127.5" x14ac:dyDescent="0.2">
      <c r="A45" s="7">
        <f t="shared" si="5"/>
        <v>4</v>
      </c>
      <c r="C45" s="2" t="s">
        <v>71</v>
      </c>
      <c r="D45" s="2" t="s">
        <v>70</v>
      </c>
      <c r="E45" s="3">
        <f>E42</f>
        <v>130.76</v>
      </c>
      <c r="F45" s="1" t="s">
        <v>1</v>
      </c>
      <c r="G45" s="3">
        <v>0</v>
      </c>
      <c r="H45" s="3">
        <v>0</v>
      </c>
      <c r="I45" s="5">
        <f t="shared" si="3"/>
        <v>0</v>
      </c>
      <c r="J45" s="5">
        <f t="shared" si="4"/>
        <v>0</v>
      </c>
    </row>
    <row r="46" spans="1:11" ht="114.75" x14ac:dyDescent="0.2">
      <c r="A46" s="7">
        <f t="shared" ref="A46:A47" si="6">1+A45</f>
        <v>5</v>
      </c>
      <c r="B46" s="2" t="s">
        <v>22</v>
      </c>
      <c r="C46" s="2" t="s">
        <v>168</v>
      </c>
      <c r="D46" s="2" t="s">
        <v>167</v>
      </c>
      <c r="E46" s="3">
        <f>E45</f>
        <v>130.76</v>
      </c>
      <c r="F46" s="1" t="s">
        <v>1</v>
      </c>
      <c r="G46" s="3">
        <v>0</v>
      </c>
      <c r="H46" s="3">
        <v>0</v>
      </c>
      <c r="I46" s="5">
        <f t="shared" si="3"/>
        <v>0</v>
      </c>
      <c r="J46" s="5">
        <f t="shared" si="4"/>
        <v>0</v>
      </c>
    </row>
    <row r="47" spans="1:11" ht="76.5" x14ac:dyDescent="0.2">
      <c r="A47" s="7">
        <f t="shared" si="6"/>
        <v>6</v>
      </c>
      <c r="C47" s="2" t="s">
        <v>73</v>
      </c>
      <c r="D47" s="2" t="s">
        <v>72</v>
      </c>
      <c r="E47" s="3">
        <f>E46</f>
        <v>130.76</v>
      </c>
      <c r="F47" s="1" t="s">
        <v>1</v>
      </c>
      <c r="G47" s="3">
        <v>0</v>
      </c>
      <c r="H47" s="3">
        <v>0</v>
      </c>
      <c r="I47" s="5">
        <f t="shared" si="3"/>
        <v>0</v>
      </c>
      <c r="J47" s="5">
        <f t="shared" si="4"/>
        <v>0</v>
      </c>
    </row>
    <row r="48" spans="1:11" ht="51" x14ac:dyDescent="0.2">
      <c r="A48" s="7">
        <f t="shared" ref="A48:A49" si="7">1+A47</f>
        <v>7</v>
      </c>
      <c r="C48" s="2" t="s">
        <v>75</v>
      </c>
      <c r="D48" s="2" t="s">
        <v>74</v>
      </c>
      <c r="E48" s="3">
        <f>(95.68)</f>
        <v>95.68</v>
      </c>
      <c r="F48" s="1" t="s">
        <v>11</v>
      </c>
      <c r="G48" s="3">
        <v>0</v>
      </c>
      <c r="H48" s="3">
        <v>0</v>
      </c>
      <c r="I48" s="5">
        <f t="shared" si="3"/>
        <v>0</v>
      </c>
      <c r="J48" s="5">
        <f t="shared" si="4"/>
        <v>0</v>
      </c>
    </row>
    <row r="49" spans="1:11" ht="89.25" x14ac:dyDescent="0.2">
      <c r="A49" s="7">
        <f t="shared" si="7"/>
        <v>8</v>
      </c>
      <c r="C49" s="2" t="s">
        <v>77</v>
      </c>
      <c r="D49" s="2" t="s">
        <v>76</v>
      </c>
      <c r="E49" s="3">
        <f>E47+E48*0.1</f>
        <v>140.328</v>
      </c>
      <c r="F49" s="1" t="s">
        <v>1</v>
      </c>
      <c r="G49" s="3">
        <v>0</v>
      </c>
      <c r="H49" s="3">
        <v>0</v>
      </c>
      <c r="I49" s="5">
        <f t="shared" si="3"/>
        <v>0</v>
      </c>
      <c r="J49" s="5">
        <f t="shared" si="4"/>
        <v>0</v>
      </c>
    </row>
    <row r="51" spans="1:11" x14ac:dyDescent="0.2">
      <c r="A51" s="132" t="s">
        <v>163</v>
      </c>
      <c r="B51" s="132"/>
      <c r="C51" s="132"/>
      <c r="D51" s="132"/>
      <c r="E51" s="8"/>
      <c r="F51" s="8"/>
      <c r="G51" s="9"/>
      <c r="H51" s="9"/>
      <c r="I51" s="10">
        <f>SUM(I42:I50)</f>
        <v>0</v>
      </c>
      <c r="J51" s="10">
        <f>SUM(J42:J50)</f>
        <v>0</v>
      </c>
    </row>
    <row r="54" spans="1:11" s="5" customFormat="1" x14ac:dyDescent="0.2">
      <c r="A54" s="7"/>
      <c r="B54" s="2"/>
      <c r="C54" s="2"/>
      <c r="D54" s="2"/>
      <c r="E54" s="1"/>
      <c r="F54" s="1"/>
      <c r="G54" s="4"/>
      <c r="H54" s="4"/>
      <c r="K54" s="1"/>
    </row>
    <row r="55" spans="1:11" s="5" customFormat="1" x14ac:dyDescent="0.2">
      <c r="A55" s="7"/>
      <c r="B55" s="2"/>
      <c r="C55" s="2"/>
      <c r="D55" s="2"/>
      <c r="E55" s="1"/>
      <c r="F55" s="1"/>
      <c r="G55" s="4"/>
      <c r="H55" s="4"/>
      <c r="K55" s="1"/>
    </row>
    <row r="56" spans="1:11" s="5" customFormat="1" x14ac:dyDescent="0.2">
      <c r="A56" s="7"/>
      <c r="B56" s="2"/>
      <c r="C56" s="2"/>
      <c r="D56" s="2"/>
      <c r="E56" s="1"/>
      <c r="F56" s="1"/>
      <c r="G56" s="4"/>
      <c r="H56" s="4"/>
      <c r="K56" s="1"/>
    </row>
    <row r="57" spans="1:11" s="5" customFormat="1" x14ac:dyDescent="0.2">
      <c r="A57" s="7"/>
      <c r="B57" s="2"/>
      <c r="C57" s="2"/>
      <c r="D57" s="2"/>
      <c r="E57" s="1"/>
      <c r="F57" s="1"/>
      <c r="G57" s="4"/>
      <c r="H57" s="4"/>
      <c r="K57" s="1"/>
    </row>
  </sheetData>
  <mergeCells count="8">
    <mergeCell ref="A27:D27"/>
    <mergeCell ref="A51:D51"/>
    <mergeCell ref="A39:D39"/>
    <mergeCell ref="A1:J1"/>
    <mergeCell ref="A2:J2"/>
    <mergeCell ref="A4:J4"/>
    <mergeCell ref="A12:D12"/>
    <mergeCell ref="A18:D18"/>
  </mergeCells>
  <pageMargins left="0.70866141732283472" right="0.70866141732283472" top="0.74803149606299213" bottom="0.74803149606299213" header="0.31496062992125984" footer="0.31496062992125984"/>
  <pageSetup paperSize="9" scale="79" fitToHeight="100" orientation="portrait" r:id="rId1"/>
  <headerFooter>
    <oddFooter>&amp;C&amp;P/&amp;N&amp;RAjánlattevő</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
  <sheetViews>
    <sheetView tabSelected="1" workbookViewId="0">
      <selection activeCell="I12" sqref="I12"/>
    </sheetView>
  </sheetViews>
  <sheetFormatPr defaultRowHeight="12.75" x14ac:dyDescent="0.2"/>
  <cols>
    <col min="1" max="1" width="4.7109375" style="7" customWidth="1"/>
    <col min="2" max="2" width="3.7109375" style="2" customWidth="1"/>
    <col min="3" max="3" width="12.7109375" style="2" customWidth="1"/>
    <col min="4" max="4" width="35.7109375" style="2" customWidth="1"/>
    <col min="5" max="6" width="9.140625" style="1"/>
    <col min="7" max="8" width="9.140625" style="3"/>
    <col min="9" max="10" width="9.140625" style="5"/>
    <col min="11" max="16384" width="9.140625" style="1"/>
  </cols>
  <sheetData>
    <row r="1" spans="1:11" ht="14.25" x14ac:dyDescent="0.2">
      <c r="A1" s="133" t="str">
        <f>Főösszesítő!A1</f>
        <v>BÉKÉSSÁMSON KÖZSÉG ÖNKORMÁNYZATA</v>
      </c>
      <c r="B1" s="133"/>
      <c r="C1" s="133"/>
      <c r="D1" s="133"/>
      <c r="E1" s="133"/>
      <c r="F1" s="133"/>
      <c r="G1" s="133"/>
      <c r="H1" s="133"/>
      <c r="I1" s="133"/>
      <c r="J1" s="133"/>
    </row>
    <row r="2" spans="1:11" ht="14.25" x14ac:dyDescent="0.2">
      <c r="A2" s="134" t="str">
        <f>Főösszesítő!A2</f>
        <v>5495 BÉKÉSSÁMSON, HŐSÖK TERE 10-12. - PH ENERGETIKAI FELÚJÍTÁSA</v>
      </c>
      <c r="B2" s="134"/>
      <c r="C2" s="134"/>
      <c r="D2" s="134"/>
      <c r="E2" s="134"/>
      <c r="F2" s="134"/>
      <c r="G2" s="134"/>
      <c r="H2" s="134"/>
      <c r="I2" s="134"/>
      <c r="J2" s="134"/>
    </row>
    <row r="3" spans="1:11" ht="15" x14ac:dyDescent="0.25">
      <c r="A3" s="67"/>
      <c r="B3" s="68"/>
      <c r="C3" s="69"/>
      <c r="D3" s="70"/>
      <c r="E3" s="71"/>
      <c r="F3" s="72"/>
      <c r="G3" s="72"/>
      <c r="H3" s="72"/>
      <c r="I3" s="72"/>
      <c r="J3" s="73"/>
    </row>
    <row r="4" spans="1:11" ht="15.75" x14ac:dyDescent="0.25">
      <c r="A4" s="135" t="s">
        <v>401</v>
      </c>
      <c r="B4" s="135"/>
      <c r="C4" s="135"/>
      <c r="D4" s="135"/>
      <c r="E4" s="135"/>
      <c r="F4" s="135"/>
      <c r="G4" s="135"/>
      <c r="H4" s="135"/>
      <c r="I4" s="135"/>
      <c r="J4" s="135"/>
    </row>
    <row r="5" spans="1:11" ht="25.5" x14ac:dyDescent="0.2">
      <c r="A5" s="74" t="s">
        <v>389</v>
      </c>
      <c r="B5" s="74"/>
      <c r="C5" s="75" t="s">
        <v>390</v>
      </c>
      <c r="D5" s="75" t="s">
        <v>391</v>
      </c>
      <c r="E5" s="76" t="s">
        <v>392</v>
      </c>
      <c r="F5" s="75" t="s">
        <v>393</v>
      </c>
      <c r="G5" s="77" t="s">
        <v>394</v>
      </c>
      <c r="H5" s="77" t="s">
        <v>395</v>
      </c>
      <c r="I5" s="78" t="s">
        <v>396</v>
      </c>
      <c r="J5" s="78" t="s">
        <v>397</v>
      </c>
    </row>
    <row r="6" spans="1:11" x14ac:dyDescent="0.2">
      <c r="A6" s="79"/>
      <c r="B6" s="79"/>
      <c r="C6" s="79"/>
      <c r="D6" s="79"/>
      <c r="E6" s="80"/>
      <c r="F6" s="80"/>
      <c r="G6" s="81"/>
      <c r="H6" s="81"/>
      <c r="I6" s="73"/>
      <c r="J6" s="73"/>
    </row>
    <row r="7" spans="1:11" ht="102" x14ac:dyDescent="0.2">
      <c r="A7" s="7">
        <v>1</v>
      </c>
      <c r="C7" s="2" t="s">
        <v>96</v>
      </c>
      <c r="D7" s="2" t="s">
        <v>95</v>
      </c>
      <c r="E7" s="3">
        <f>11.08+13.9</f>
        <v>24.98</v>
      </c>
      <c r="F7" s="1" t="s">
        <v>1</v>
      </c>
      <c r="G7" s="3">
        <v>0</v>
      </c>
      <c r="H7" s="3">
        <v>0</v>
      </c>
      <c r="I7" s="5">
        <f>E7*G7</f>
        <v>0</v>
      </c>
      <c r="J7" s="5">
        <f>E7*H7</f>
        <v>0</v>
      </c>
    </row>
    <row r="8" spans="1:11" ht="102" x14ac:dyDescent="0.2">
      <c r="A8" s="7">
        <f>1+A7</f>
        <v>2</v>
      </c>
      <c r="C8" s="2" t="s">
        <v>97</v>
      </c>
      <c r="D8" s="2" t="s">
        <v>303</v>
      </c>
      <c r="E8" s="5">
        <v>150</v>
      </c>
      <c r="F8" s="1" t="s">
        <v>35</v>
      </c>
      <c r="G8" s="3">
        <v>0</v>
      </c>
      <c r="H8" s="3">
        <v>0</v>
      </c>
      <c r="I8" s="5">
        <f>E8*G8</f>
        <v>0</v>
      </c>
      <c r="J8" s="5">
        <f>E8*H8</f>
        <v>0</v>
      </c>
    </row>
    <row r="9" spans="1:11" s="5" customFormat="1" x14ac:dyDescent="0.2">
      <c r="A9" s="7"/>
      <c r="B9" s="2"/>
      <c r="C9" s="2"/>
      <c r="D9" s="2"/>
      <c r="E9" s="1"/>
      <c r="F9" s="1"/>
      <c r="G9" s="4"/>
      <c r="H9" s="4"/>
      <c r="K9" s="1"/>
    </row>
    <row r="10" spans="1:11" x14ac:dyDescent="0.2">
      <c r="A10" s="132" t="s">
        <v>163</v>
      </c>
      <c r="B10" s="132"/>
      <c r="C10" s="132"/>
      <c r="D10" s="132"/>
      <c r="E10" s="8"/>
      <c r="F10" s="8"/>
      <c r="G10" s="9"/>
      <c r="H10" s="9"/>
      <c r="I10" s="10">
        <f>SUM(I7:I9)</f>
        <v>0</v>
      </c>
      <c r="J10" s="10">
        <f>SUM(J7:J9)</f>
        <v>0</v>
      </c>
    </row>
  </sheetData>
  <mergeCells count="4">
    <mergeCell ref="A10:D10"/>
    <mergeCell ref="A1:J1"/>
    <mergeCell ref="A2:J2"/>
    <mergeCell ref="A4:J4"/>
  </mergeCells>
  <pageMargins left="0.70866141732283472" right="0.70866141732283472" top="0.74803149606299213" bottom="0.74803149606299213" header="0.31496062992125984" footer="0.31496062992125984"/>
  <pageSetup paperSize="9" scale="79" fitToHeight="100" orientation="portrait" r:id="rId1"/>
  <headerFooter>
    <oddFooter>&amp;C&amp;P/&amp;N&amp;RAjánlattevő</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workbookViewId="0">
      <selection activeCell="I12" sqref="I12"/>
    </sheetView>
  </sheetViews>
  <sheetFormatPr defaultRowHeight="12.75" x14ac:dyDescent="0.2"/>
  <cols>
    <col min="1" max="1" width="4.7109375" style="7" customWidth="1"/>
    <col min="2" max="2" width="3.7109375" style="2" customWidth="1"/>
    <col min="3" max="3" width="12.7109375" style="2" customWidth="1"/>
    <col min="4" max="4" width="35.7109375" style="2" customWidth="1"/>
    <col min="5" max="6" width="9.140625" style="1"/>
    <col min="7" max="8" width="9.140625" style="3"/>
    <col min="9" max="10" width="9.140625" style="5"/>
    <col min="11" max="16384" width="9.140625" style="1"/>
  </cols>
  <sheetData>
    <row r="1" spans="1:10" ht="14.25" x14ac:dyDescent="0.2">
      <c r="A1" s="133" t="str">
        <f>Főösszesítő!A1</f>
        <v>BÉKÉSSÁMSON KÖZSÉG ÖNKORMÁNYZATA</v>
      </c>
      <c r="B1" s="133"/>
      <c r="C1" s="133"/>
      <c r="D1" s="133"/>
      <c r="E1" s="133"/>
      <c r="F1" s="133"/>
      <c r="G1" s="133"/>
      <c r="H1" s="133"/>
      <c r="I1" s="133"/>
      <c r="J1" s="133"/>
    </row>
    <row r="2" spans="1:10" ht="14.25" x14ac:dyDescent="0.2">
      <c r="A2" s="134" t="str">
        <f>Főösszesítő!A2</f>
        <v>5495 BÉKÉSSÁMSON, HŐSÖK TERE 10-12. - PH ENERGETIKAI FELÚJÍTÁSA</v>
      </c>
      <c r="B2" s="134"/>
      <c r="C2" s="134"/>
      <c r="D2" s="134"/>
      <c r="E2" s="134"/>
      <c r="F2" s="134"/>
      <c r="G2" s="134"/>
      <c r="H2" s="134"/>
      <c r="I2" s="134"/>
      <c r="J2" s="134"/>
    </row>
    <row r="3" spans="1:10" ht="15" x14ac:dyDescent="0.25">
      <c r="A3" s="67"/>
      <c r="B3" s="68"/>
      <c r="C3" s="69"/>
      <c r="D3" s="70"/>
      <c r="E3" s="71"/>
      <c r="F3" s="72"/>
      <c r="G3" s="72"/>
      <c r="H3" s="72"/>
      <c r="I3" s="72"/>
      <c r="J3" s="73"/>
    </row>
    <row r="4" spans="1:10" ht="15.75" x14ac:dyDescent="0.25">
      <c r="A4" s="135" t="s">
        <v>400</v>
      </c>
      <c r="B4" s="135"/>
      <c r="C4" s="135"/>
      <c r="D4" s="135"/>
      <c r="E4" s="135"/>
      <c r="F4" s="135"/>
      <c r="G4" s="135"/>
      <c r="H4" s="135"/>
      <c r="I4" s="135"/>
      <c r="J4" s="135"/>
    </row>
    <row r="5" spans="1:10" ht="25.5" x14ac:dyDescent="0.2">
      <c r="A5" s="74" t="s">
        <v>389</v>
      </c>
      <c r="B5" s="74"/>
      <c r="C5" s="75" t="s">
        <v>390</v>
      </c>
      <c r="D5" s="75" t="s">
        <v>391</v>
      </c>
      <c r="E5" s="76" t="s">
        <v>392</v>
      </c>
      <c r="F5" s="75" t="s">
        <v>393</v>
      </c>
      <c r="G5" s="77" t="s">
        <v>394</v>
      </c>
      <c r="H5" s="77" t="s">
        <v>395</v>
      </c>
      <c r="I5" s="78" t="s">
        <v>396</v>
      </c>
      <c r="J5" s="78" t="s">
        <v>397</v>
      </c>
    </row>
    <row r="6" spans="1:10" x14ac:dyDescent="0.2">
      <c r="A6" s="79"/>
      <c r="B6" s="79"/>
      <c r="C6" s="79"/>
      <c r="D6" s="79"/>
      <c r="E6" s="80"/>
      <c r="F6" s="80"/>
      <c r="G6" s="81"/>
      <c r="H6" s="81"/>
      <c r="I6" s="73"/>
      <c r="J6" s="73"/>
    </row>
    <row r="7" spans="1:10" ht="63.75" x14ac:dyDescent="0.2">
      <c r="A7" s="7">
        <v>1</v>
      </c>
      <c r="C7" s="2" t="s">
        <v>546</v>
      </c>
      <c r="D7" s="6" t="s">
        <v>545</v>
      </c>
      <c r="E7" s="3">
        <v>575</v>
      </c>
      <c r="F7" s="1" t="s">
        <v>1</v>
      </c>
      <c r="G7" s="3">
        <v>0</v>
      </c>
      <c r="H7" s="3">
        <v>0</v>
      </c>
      <c r="I7" s="5">
        <f t="shared" ref="I7:I12" si="0">E7*G7</f>
        <v>0</v>
      </c>
      <c r="J7" s="5">
        <f t="shared" ref="J7:J12" si="1">E7*H7</f>
        <v>0</v>
      </c>
    </row>
    <row r="8" spans="1:10" ht="102" x14ac:dyDescent="0.2">
      <c r="A8" s="7">
        <f>1+A7</f>
        <v>2</v>
      </c>
      <c r="C8" s="2" t="s">
        <v>524</v>
      </c>
      <c r="D8" s="6" t="s">
        <v>523</v>
      </c>
      <c r="E8" s="3">
        <v>575</v>
      </c>
      <c r="F8" s="1" t="s">
        <v>1</v>
      </c>
      <c r="G8" s="3">
        <v>0</v>
      </c>
      <c r="H8" s="3">
        <v>0</v>
      </c>
      <c r="I8" s="5">
        <f t="shared" si="0"/>
        <v>0</v>
      </c>
      <c r="J8" s="5">
        <f t="shared" si="1"/>
        <v>0</v>
      </c>
    </row>
    <row r="9" spans="1:10" ht="63.75" x14ac:dyDescent="0.2">
      <c r="A9" s="7">
        <f t="shared" ref="A9:A10" si="2">1+A8</f>
        <v>3</v>
      </c>
      <c r="C9" s="2" t="s">
        <v>106</v>
      </c>
      <c r="D9" s="6" t="s">
        <v>547</v>
      </c>
      <c r="E9" s="3">
        <v>425</v>
      </c>
      <c r="F9" s="1" t="s">
        <v>11</v>
      </c>
      <c r="G9" s="3">
        <v>0</v>
      </c>
      <c r="H9" s="3">
        <v>0</v>
      </c>
      <c r="I9" s="5">
        <f t="shared" si="0"/>
        <v>0</v>
      </c>
      <c r="J9" s="5">
        <f t="shared" si="1"/>
        <v>0</v>
      </c>
    </row>
    <row r="10" spans="1:10" ht="76.5" x14ac:dyDescent="0.2">
      <c r="A10" s="7">
        <f t="shared" si="2"/>
        <v>4</v>
      </c>
      <c r="B10" s="2" t="s">
        <v>22</v>
      </c>
      <c r="C10" s="2" t="s">
        <v>106</v>
      </c>
      <c r="D10" s="6" t="s">
        <v>525</v>
      </c>
      <c r="E10" s="3">
        <v>425</v>
      </c>
      <c r="F10" s="1" t="s">
        <v>11</v>
      </c>
      <c r="G10" s="3">
        <v>0</v>
      </c>
      <c r="H10" s="3">
        <v>0</v>
      </c>
      <c r="I10" s="5">
        <f t="shared" si="0"/>
        <v>0</v>
      </c>
      <c r="J10" s="5">
        <f t="shared" si="1"/>
        <v>0</v>
      </c>
    </row>
    <row r="11" spans="1:10" ht="76.5" x14ac:dyDescent="0.2">
      <c r="A11" s="7">
        <f t="shared" ref="A11:A12" si="3">1+A10</f>
        <v>5</v>
      </c>
      <c r="C11" s="2" t="s">
        <v>108</v>
      </c>
      <c r="D11" s="2" t="s">
        <v>107</v>
      </c>
      <c r="E11" s="3">
        <f>60*1.25</f>
        <v>75</v>
      </c>
      <c r="F11" s="1" t="s">
        <v>1</v>
      </c>
      <c r="G11" s="3">
        <v>0</v>
      </c>
      <c r="H11" s="3">
        <v>0</v>
      </c>
      <c r="I11" s="5">
        <f t="shared" si="0"/>
        <v>0</v>
      </c>
      <c r="J11" s="5">
        <f t="shared" si="1"/>
        <v>0</v>
      </c>
    </row>
    <row r="12" spans="1:10" ht="38.25" x14ac:dyDescent="0.2">
      <c r="A12" s="7">
        <f t="shared" si="3"/>
        <v>6</v>
      </c>
      <c r="B12" s="2" t="s">
        <v>111</v>
      </c>
      <c r="D12" s="2" t="s">
        <v>533</v>
      </c>
      <c r="E12" s="5">
        <v>1</v>
      </c>
      <c r="F12" s="1" t="s">
        <v>377</v>
      </c>
      <c r="G12" s="3">
        <v>0</v>
      </c>
      <c r="H12" s="3">
        <v>0</v>
      </c>
      <c r="I12" s="5">
        <f t="shared" si="0"/>
        <v>0</v>
      </c>
      <c r="J12" s="5">
        <f t="shared" si="1"/>
        <v>0</v>
      </c>
    </row>
    <row r="14" spans="1:10" x14ac:dyDescent="0.2">
      <c r="A14" s="132" t="s">
        <v>170</v>
      </c>
      <c r="B14" s="132"/>
      <c r="C14" s="132"/>
      <c r="D14" s="132"/>
      <c r="E14" s="8"/>
      <c r="F14" s="8"/>
      <c r="G14" s="9"/>
      <c r="H14" s="9"/>
      <c r="I14" s="10">
        <f>SUM(I7:I13)</f>
        <v>0</v>
      </c>
      <c r="J14" s="10">
        <f>SUM(J7:J13)</f>
        <v>0</v>
      </c>
    </row>
    <row r="17" spans="1:11" s="5" customFormat="1" ht="89.25" x14ac:dyDescent="0.2">
      <c r="A17" s="7">
        <v>1</v>
      </c>
      <c r="B17" s="2"/>
      <c r="C17" s="2" t="s">
        <v>99</v>
      </c>
      <c r="D17" s="2" t="s">
        <v>98</v>
      </c>
      <c r="E17" s="3">
        <f>E7-E19</f>
        <v>467</v>
      </c>
      <c r="F17" s="1" t="s">
        <v>1</v>
      </c>
      <c r="G17" s="3">
        <v>0</v>
      </c>
      <c r="H17" s="3">
        <v>0</v>
      </c>
      <c r="I17" s="5">
        <f>E17*G17</f>
        <v>0</v>
      </c>
      <c r="J17" s="5">
        <f>E17*H17</f>
        <v>0</v>
      </c>
      <c r="K17" s="1"/>
    </row>
    <row r="18" spans="1:11" s="5" customFormat="1" ht="25.5" x14ac:dyDescent="0.2">
      <c r="A18" s="7">
        <f t="shared" ref="A18:A20" si="4">1+A17</f>
        <v>2</v>
      </c>
      <c r="B18" s="2"/>
      <c r="C18" s="2" t="s">
        <v>101</v>
      </c>
      <c r="D18" s="2" t="s">
        <v>100</v>
      </c>
      <c r="E18" s="3">
        <f>E7-E20</f>
        <v>503</v>
      </c>
      <c r="F18" s="1" t="s">
        <v>1</v>
      </c>
      <c r="G18" s="3">
        <v>0</v>
      </c>
      <c r="H18" s="3">
        <v>0</v>
      </c>
      <c r="I18" s="5">
        <f>E18*G18</f>
        <v>0</v>
      </c>
      <c r="J18" s="5">
        <f>E18*H18</f>
        <v>0</v>
      </c>
      <c r="K18" s="1"/>
    </row>
    <row r="19" spans="1:11" ht="76.5" x14ac:dyDescent="0.2">
      <c r="A19" s="7">
        <f t="shared" si="4"/>
        <v>3</v>
      </c>
      <c r="C19" s="2" t="s">
        <v>103</v>
      </c>
      <c r="D19" s="2" t="s">
        <v>102</v>
      </c>
      <c r="E19" s="3">
        <f>60*1.8</f>
        <v>108</v>
      </c>
      <c r="F19" s="1" t="s">
        <v>1</v>
      </c>
      <c r="G19" s="3">
        <v>0</v>
      </c>
      <c r="H19" s="3">
        <v>0</v>
      </c>
      <c r="I19" s="5">
        <f>E19*G19</f>
        <v>0</v>
      </c>
      <c r="J19" s="5">
        <f>E19*H19</f>
        <v>0</v>
      </c>
    </row>
    <row r="20" spans="1:11" ht="25.5" x14ac:dyDescent="0.2">
      <c r="A20" s="7">
        <f t="shared" si="4"/>
        <v>4</v>
      </c>
      <c r="C20" s="2" t="s">
        <v>105</v>
      </c>
      <c r="D20" s="2" t="s">
        <v>104</v>
      </c>
      <c r="E20" s="3">
        <f>60*1.2</f>
        <v>72</v>
      </c>
      <c r="F20" s="1" t="s">
        <v>1</v>
      </c>
      <c r="G20" s="3">
        <v>0</v>
      </c>
      <c r="H20" s="3">
        <v>0</v>
      </c>
      <c r="I20" s="5">
        <f>E20*G20</f>
        <v>0</v>
      </c>
      <c r="J20" s="5">
        <f>E20*H20</f>
        <v>0</v>
      </c>
    </row>
    <row r="22" spans="1:11" x14ac:dyDescent="0.2">
      <c r="A22" s="132" t="s">
        <v>163</v>
      </c>
      <c r="B22" s="132"/>
      <c r="C22" s="132"/>
      <c r="D22" s="132"/>
      <c r="E22" s="8"/>
      <c r="F22" s="8"/>
      <c r="G22" s="9"/>
      <c r="H22" s="9"/>
      <c r="I22" s="10">
        <f>SUM(I17:I21)</f>
        <v>0</v>
      </c>
      <c r="J22" s="10">
        <f>SUM(J17:J21)</f>
        <v>0</v>
      </c>
    </row>
  </sheetData>
  <mergeCells count="5">
    <mergeCell ref="A22:D22"/>
    <mergeCell ref="A14:D14"/>
    <mergeCell ref="A1:J1"/>
    <mergeCell ref="A2:J2"/>
    <mergeCell ref="A4:J4"/>
  </mergeCells>
  <pageMargins left="0.70866141732283472" right="0.70866141732283472" top="0.74803149606299213" bottom="0.74803149606299213" header="0.31496062992125984" footer="0.31496062992125984"/>
  <pageSetup paperSize="9" scale="79" fitToHeight="100" orientation="portrait" r:id="rId1"/>
  <headerFooter>
    <oddFooter>&amp;C&amp;P/&amp;N&amp;RAjánlattevő</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9"/>
  <sheetViews>
    <sheetView tabSelected="1" workbookViewId="0">
      <selection activeCell="I12" sqref="I12"/>
    </sheetView>
  </sheetViews>
  <sheetFormatPr defaultRowHeight="12.75" x14ac:dyDescent="0.2"/>
  <cols>
    <col min="1" max="1" width="4.7109375" style="7" customWidth="1"/>
    <col min="2" max="2" width="3.7109375" style="2" customWidth="1"/>
    <col min="3" max="3" width="12.7109375" style="2" customWidth="1"/>
    <col min="4" max="4" width="35.7109375" style="2" customWidth="1"/>
    <col min="5" max="6" width="9.140625" style="1"/>
    <col min="7" max="8" width="9.140625" style="3"/>
    <col min="9" max="10" width="9.140625" style="5"/>
    <col min="11" max="16384" width="9.140625" style="1"/>
  </cols>
  <sheetData>
    <row r="1" spans="1:10" ht="14.25" x14ac:dyDescent="0.2">
      <c r="A1" s="133" t="str">
        <f>Főösszesítő!A1</f>
        <v>BÉKÉSSÁMSON KÖZSÉG ÖNKORMÁNYZATA</v>
      </c>
      <c r="B1" s="133"/>
      <c r="C1" s="133"/>
      <c r="D1" s="133"/>
      <c r="E1" s="133"/>
      <c r="F1" s="133"/>
      <c r="G1" s="133"/>
      <c r="H1" s="133"/>
      <c r="I1" s="133"/>
      <c r="J1" s="133"/>
    </row>
    <row r="2" spans="1:10" ht="14.25" x14ac:dyDescent="0.2">
      <c r="A2" s="134" t="str">
        <f>Főösszesítő!A2</f>
        <v>5495 BÉKÉSSÁMSON, HŐSÖK TERE 10-12. - PH ENERGETIKAI FELÚJÍTÁSA</v>
      </c>
      <c r="B2" s="134"/>
      <c r="C2" s="134"/>
      <c r="D2" s="134"/>
      <c r="E2" s="134"/>
      <c r="F2" s="134"/>
      <c r="G2" s="134"/>
      <c r="H2" s="134"/>
      <c r="I2" s="134"/>
      <c r="J2" s="134"/>
    </row>
    <row r="3" spans="1:10" ht="15" x14ac:dyDescent="0.25">
      <c r="A3" s="67"/>
      <c r="B3" s="68"/>
      <c r="C3" s="69"/>
      <c r="D3" s="70"/>
      <c r="E3" s="71"/>
      <c r="F3" s="72"/>
      <c r="G3" s="72"/>
      <c r="H3" s="72"/>
      <c r="I3" s="72"/>
      <c r="J3" s="73"/>
    </row>
    <row r="4" spans="1:10" ht="15.75" x14ac:dyDescent="0.25">
      <c r="A4" s="135" t="s">
        <v>399</v>
      </c>
      <c r="B4" s="135"/>
      <c r="C4" s="135"/>
      <c r="D4" s="135"/>
      <c r="E4" s="135"/>
      <c r="F4" s="135"/>
      <c r="G4" s="135"/>
      <c r="H4" s="135"/>
      <c r="I4" s="135"/>
      <c r="J4" s="135"/>
    </row>
    <row r="5" spans="1:10" ht="25.5" x14ac:dyDescent="0.2">
      <c r="A5" s="74" t="s">
        <v>389</v>
      </c>
      <c r="B5" s="74"/>
      <c r="C5" s="75" t="s">
        <v>390</v>
      </c>
      <c r="D5" s="75" t="s">
        <v>391</v>
      </c>
      <c r="E5" s="76" t="s">
        <v>392</v>
      </c>
      <c r="F5" s="75" t="s">
        <v>393</v>
      </c>
      <c r="G5" s="77" t="s">
        <v>394</v>
      </c>
      <c r="H5" s="77" t="s">
        <v>395</v>
      </c>
      <c r="I5" s="78" t="s">
        <v>396</v>
      </c>
      <c r="J5" s="78" t="s">
        <v>397</v>
      </c>
    </row>
    <row r="6" spans="1:10" x14ac:dyDescent="0.2">
      <c r="A6" s="79"/>
      <c r="B6" s="79"/>
      <c r="C6" s="79"/>
      <c r="D6" s="79"/>
      <c r="E6" s="80"/>
      <c r="F6" s="80"/>
      <c r="G6" s="81"/>
      <c r="H6" s="81"/>
      <c r="I6" s="73"/>
      <c r="J6" s="73"/>
    </row>
    <row r="7" spans="1:10" ht="38.25" x14ac:dyDescent="0.2">
      <c r="A7" s="116">
        <v>1</v>
      </c>
      <c r="B7" s="79"/>
      <c r="C7" s="79" t="s">
        <v>41</v>
      </c>
      <c r="D7" s="79" t="s">
        <v>493</v>
      </c>
      <c r="E7" s="3">
        <f>(1.4+2.5*2)*3.5</f>
        <v>22.400000000000002</v>
      </c>
      <c r="F7" s="80" t="s">
        <v>1</v>
      </c>
      <c r="G7" s="81">
        <v>0</v>
      </c>
      <c r="H7" s="3">
        <v>0</v>
      </c>
      <c r="I7" s="5">
        <f>E7*G7</f>
        <v>0</v>
      </c>
      <c r="J7" s="5">
        <f>E7*H7</f>
        <v>0</v>
      </c>
    </row>
    <row r="8" spans="1:10" ht="38.25" x14ac:dyDescent="0.2">
      <c r="A8" s="7">
        <f t="shared" ref="A8" si="0">1+A7</f>
        <v>2</v>
      </c>
      <c r="B8" s="2" t="s">
        <v>22</v>
      </c>
      <c r="C8" s="2" t="s">
        <v>57</v>
      </c>
      <c r="D8" s="2" t="s">
        <v>164</v>
      </c>
      <c r="E8" s="1">
        <v>2</v>
      </c>
      <c r="F8" s="1" t="s">
        <v>35</v>
      </c>
      <c r="G8" s="81">
        <v>0</v>
      </c>
      <c r="H8" s="3">
        <v>0</v>
      </c>
      <c r="I8" s="5">
        <f>E8*G8</f>
        <v>0</v>
      </c>
      <c r="J8" s="5">
        <f>E8*H8</f>
        <v>0</v>
      </c>
    </row>
    <row r="9" spans="1:10" x14ac:dyDescent="0.2">
      <c r="A9" s="79"/>
      <c r="B9" s="79"/>
      <c r="C9" s="79"/>
      <c r="D9" s="79"/>
      <c r="E9" s="80"/>
      <c r="F9" s="80"/>
      <c r="G9" s="81"/>
      <c r="H9" s="81"/>
      <c r="I9" s="73"/>
      <c r="J9" s="73"/>
    </row>
    <row r="10" spans="1:10" x14ac:dyDescent="0.2">
      <c r="A10" s="132" t="s">
        <v>158</v>
      </c>
      <c r="B10" s="132"/>
      <c r="C10" s="132"/>
      <c r="D10" s="132"/>
      <c r="E10" s="8"/>
      <c r="F10" s="8"/>
      <c r="G10" s="9"/>
      <c r="H10" s="9"/>
      <c r="I10" s="10">
        <f>SUM(I7:I9)</f>
        <v>0</v>
      </c>
      <c r="J10" s="10">
        <f>SUM(J7:J9)</f>
        <v>0</v>
      </c>
    </row>
    <row r="11" spans="1:10" x14ac:dyDescent="0.2">
      <c r="A11" s="79"/>
      <c r="B11" s="79"/>
      <c r="C11" s="79"/>
      <c r="D11" s="79"/>
      <c r="E11" s="80"/>
      <c r="F11" s="80"/>
      <c r="G11" s="81"/>
      <c r="H11" s="81"/>
      <c r="I11" s="73"/>
      <c r="J11" s="73"/>
    </row>
    <row r="12" spans="1:10" x14ac:dyDescent="0.2">
      <c r="A12" s="79"/>
      <c r="B12" s="79"/>
      <c r="C12" s="79"/>
      <c r="D12" s="79"/>
      <c r="E12" s="80"/>
      <c r="F12" s="80"/>
      <c r="G12" s="81"/>
      <c r="H12" s="81"/>
      <c r="I12" s="73"/>
      <c r="J12" s="73"/>
    </row>
    <row r="13" spans="1:10" ht="25.5" x14ac:dyDescent="0.2">
      <c r="A13" s="7">
        <v>1</v>
      </c>
      <c r="C13" s="2" t="s">
        <v>65</v>
      </c>
      <c r="D13" s="2" t="s">
        <v>64</v>
      </c>
      <c r="E13" s="3">
        <f>+(1)*2</f>
        <v>2</v>
      </c>
      <c r="F13" s="1" t="s">
        <v>11</v>
      </c>
      <c r="G13" s="81">
        <v>0</v>
      </c>
      <c r="H13" s="3">
        <v>0</v>
      </c>
      <c r="I13" s="5">
        <f t="shared" ref="I13:I26" si="1">E13*G13</f>
        <v>0</v>
      </c>
      <c r="J13" s="5">
        <f t="shared" ref="J13:J26" si="2">E13*H13</f>
        <v>0</v>
      </c>
    </row>
    <row r="14" spans="1:10" ht="25.5" x14ac:dyDescent="0.2">
      <c r="A14" s="7">
        <f>1+A13</f>
        <v>2</v>
      </c>
      <c r="C14" s="2" t="s">
        <v>119</v>
      </c>
      <c r="D14" s="2" t="s">
        <v>118</v>
      </c>
      <c r="E14" s="3">
        <f>E13*6</f>
        <v>12</v>
      </c>
      <c r="F14" s="1" t="s">
        <v>11</v>
      </c>
      <c r="G14" s="81">
        <v>0</v>
      </c>
      <c r="H14" s="3">
        <v>0</v>
      </c>
      <c r="I14" s="5">
        <f t="shared" si="1"/>
        <v>0</v>
      </c>
      <c r="J14" s="5">
        <f t="shared" si="2"/>
        <v>0</v>
      </c>
    </row>
    <row r="15" spans="1:10" ht="140.25" x14ac:dyDescent="0.2">
      <c r="A15" s="7">
        <f t="shared" ref="A15:A26" si="3">1+A14</f>
        <v>3</v>
      </c>
      <c r="C15" s="2" t="s">
        <v>304</v>
      </c>
      <c r="D15" s="2" t="s">
        <v>305</v>
      </c>
      <c r="E15" s="1">
        <v>4</v>
      </c>
      <c r="F15" s="1" t="s">
        <v>35</v>
      </c>
      <c r="G15" s="81">
        <v>0</v>
      </c>
      <c r="H15" s="3">
        <v>0</v>
      </c>
      <c r="I15" s="5">
        <f t="shared" si="1"/>
        <v>0</v>
      </c>
      <c r="J15" s="5">
        <f t="shared" si="2"/>
        <v>0</v>
      </c>
    </row>
    <row r="16" spans="1:10" ht="25.5" x14ac:dyDescent="0.2">
      <c r="A16" s="7">
        <f t="shared" si="3"/>
        <v>4</v>
      </c>
      <c r="C16" s="2" t="s">
        <v>306</v>
      </c>
      <c r="D16" s="2" t="s">
        <v>307</v>
      </c>
      <c r="E16" s="3">
        <f>+(1)*2.125*0.32</f>
        <v>0.68</v>
      </c>
      <c r="F16" s="1" t="s">
        <v>53</v>
      </c>
      <c r="G16" s="81">
        <v>0</v>
      </c>
      <c r="H16" s="3">
        <v>0</v>
      </c>
      <c r="I16" s="5">
        <f t="shared" si="1"/>
        <v>0</v>
      </c>
      <c r="J16" s="5">
        <f t="shared" si="2"/>
        <v>0</v>
      </c>
    </row>
    <row r="17" spans="1:10" x14ac:dyDescent="0.2">
      <c r="A17" s="7">
        <f t="shared" si="3"/>
        <v>5</v>
      </c>
      <c r="C17" s="2" t="s">
        <v>123</v>
      </c>
      <c r="D17" s="2" t="s">
        <v>122</v>
      </c>
      <c r="E17" s="3">
        <f>1.8*2</f>
        <v>3.6</v>
      </c>
      <c r="F17" s="1" t="s">
        <v>11</v>
      </c>
      <c r="G17" s="81">
        <v>0</v>
      </c>
      <c r="H17" s="3">
        <v>0</v>
      </c>
      <c r="I17" s="5">
        <f t="shared" si="1"/>
        <v>0</v>
      </c>
      <c r="J17" s="5">
        <f t="shared" si="2"/>
        <v>0</v>
      </c>
    </row>
    <row r="18" spans="1:10" ht="102" x14ac:dyDescent="0.2">
      <c r="A18" s="7">
        <f t="shared" si="3"/>
        <v>6</v>
      </c>
      <c r="C18" s="2" t="s">
        <v>121</v>
      </c>
      <c r="D18" s="2" t="s">
        <v>120</v>
      </c>
      <c r="E18" s="3">
        <f>1.4*2.95*0.51-1.2*0.8</f>
        <v>1.1463000000000001</v>
      </c>
      <c r="F18" s="1" t="s">
        <v>53</v>
      </c>
      <c r="G18" s="81">
        <v>0</v>
      </c>
      <c r="H18" s="3">
        <v>0</v>
      </c>
      <c r="I18" s="5">
        <f t="shared" si="1"/>
        <v>0</v>
      </c>
      <c r="J18" s="5">
        <f t="shared" si="2"/>
        <v>0</v>
      </c>
    </row>
    <row r="19" spans="1:10" ht="25.5" x14ac:dyDescent="0.2">
      <c r="A19" s="7">
        <f t="shared" si="3"/>
        <v>7</v>
      </c>
      <c r="C19" s="2" t="s">
        <v>13</v>
      </c>
      <c r="D19" s="2" t="s">
        <v>12</v>
      </c>
      <c r="E19" s="3">
        <f>1.4*2.95*3</f>
        <v>12.39</v>
      </c>
      <c r="F19" s="1" t="s">
        <v>1</v>
      </c>
      <c r="G19" s="81">
        <v>0</v>
      </c>
      <c r="H19" s="3">
        <v>0</v>
      </c>
      <c r="I19" s="5">
        <f t="shared" si="1"/>
        <v>0</v>
      </c>
      <c r="J19" s="5">
        <f t="shared" si="2"/>
        <v>0</v>
      </c>
    </row>
    <row r="20" spans="1:10" ht="38.25" x14ac:dyDescent="0.2">
      <c r="A20" s="7">
        <f t="shared" si="3"/>
        <v>8</v>
      </c>
      <c r="C20" s="2" t="s">
        <v>15</v>
      </c>
      <c r="D20" s="2" t="s">
        <v>14</v>
      </c>
      <c r="E20" s="3">
        <f>E19</f>
        <v>12.39</v>
      </c>
      <c r="F20" s="1" t="s">
        <v>1</v>
      </c>
      <c r="G20" s="81">
        <v>0</v>
      </c>
      <c r="H20" s="3">
        <v>0</v>
      </c>
      <c r="I20" s="5">
        <f t="shared" si="1"/>
        <v>0</v>
      </c>
      <c r="J20" s="5">
        <f t="shared" si="2"/>
        <v>0</v>
      </c>
    </row>
    <row r="21" spans="1:10" ht="63.75" x14ac:dyDescent="0.2">
      <c r="A21" s="7">
        <f t="shared" si="3"/>
        <v>9</v>
      </c>
      <c r="C21" s="2" t="s">
        <v>125</v>
      </c>
      <c r="D21" s="2" t="s">
        <v>124</v>
      </c>
      <c r="E21" s="3">
        <f>E20</f>
        <v>12.39</v>
      </c>
      <c r="F21" s="1" t="s">
        <v>1</v>
      </c>
      <c r="G21" s="81">
        <v>0</v>
      </c>
      <c r="H21" s="3">
        <v>0</v>
      </c>
      <c r="I21" s="5">
        <f t="shared" si="1"/>
        <v>0</v>
      </c>
      <c r="J21" s="5">
        <f t="shared" si="2"/>
        <v>0</v>
      </c>
    </row>
    <row r="22" spans="1:10" ht="38.25" x14ac:dyDescent="0.2">
      <c r="A22" s="7">
        <f t="shared" si="3"/>
        <v>10</v>
      </c>
      <c r="B22" s="2" t="s">
        <v>22</v>
      </c>
      <c r="C22" s="2" t="s">
        <v>274</v>
      </c>
      <c r="D22" s="2" t="s">
        <v>273</v>
      </c>
      <c r="E22" s="3">
        <f>E84</f>
        <v>30</v>
      </c>
      <c r="F22" s="1" t="s">
        <v>11</v>
      </c>
      <c r="G22" s="81">
        <v>0</v>
      </c>
      <c r="H22" s="3">
        <v>0</v>
      </c>
      <c r="I22" s="5">
        <f t="shared" si="1"/>
        <v>0</v>
      </c>
      <c r="J22" s="5">
        <f t="shared" si="2"/>
        <v>0</v>
      </c>
    </row>
    <row r="23" spans="1:10" ht="38.25" x14ac:dyDescent="0.2">
      <c r="A23" s="7">
        <f t="shared" si="3"/>
        <v>11</v>
      </c>
      <c r="B23" s="2" t="s">
        <v>22</v>
      </c>
      <c r="C23" s="2" t="s">
        <v>276</v>
      </c>
      <c r="D23" s="2" t="s">
        <v>275</v>
      </c>
      <c r="E23" s="3">
        <f>E85+3.5*2*3</f>
        <v>61</v>
      </c>
      <c r="F23" s="1" t="s">
        <v>11</v>
      </c>
      <c r="G23" s="81">
        <v>0</v>
      </c>
      <c r="H23" s="3">
        <v>0</v>
      </c>
      <c r="I23" s="5">
        <f t="shared" si="1"/>
        <v>0</v>
      </c>
      <c r="J23" s="5">
        <f t="shared" si="2"/>
        <v>0</v>
      </c>
    </row>
    <row r="24" spans="1:10" ht="63.75" x14ac:dyDescent="0.2">
      <c r="A24" s="7">
        <f t="shared" si="3"/>
        <v>12</v>
      </c>
      <c r="C24" s="2" t="s">
        <v>501</v>
      </c>
      <c r="D24" s="2" t="s">
        <v>544</v>
      </c>
      <c r="E24" s="3">
        <f>0.81*2.11</f>
        <v>1.7091000000000001</v>
      </c>
      <c r="F24" s="1" t="s">
        <v>1</v>
      </c>
      <c r="G24" s="81">
        <v>0</v>
      </c>
      <c r="H24" s="3">
        <v>0</v>
      </c>
      <c r="I24" s="5">
        <f t="shared" si="1"/>
        <v>0</v>
      </c>
      <c r="J24" s="5">
        <f t="shared" si="2"/>
        <v>0</v>
      </c>
    </row>
    <row r="25" spans="1:10" ht="51" x14ac:dyDescent="0.2">
      <c r="A25" s="7">
        <f t="shared" si="3"/>
        <v>13</v>
      </c>
      <c r="B25" s="2" t="s">
        <v>22</v>
      </c>
      <c r="C25" s="2" t="s">
        <v>528</v>
      </c>
      <c r="D25" s="2" t="s">
        <v>527</v>
      </c>
      <c r="E25" s="3">
        <f>2.5*0.8</f>
        <v>2</v>
      </c>
      <c r="F25" s="1" t="s">
        <v>1</v>
      </c>
      <c r="G25" s="81">
        <v>0</v>
      </c>
      <c r="H25" s="3">
        <v>0</v>
      </c>
      <c r="I25" s="5">
        <f t="shared" si="1"/>
        <v>0</v>
      </c>
      <c r="J25" s="5">
        <f t="shared" si="2"/>
        <v>0</v>
      </c>
    </row>
    <row r="26" spans="1:10" ht="102" x14ac:dyDescent="0.2">
      <c r="A26" s="7">
        <f t="shared" si="3"/>
        <v>14</v>
      </c>
      <c r="C26" s="2" t="s">
        <v>530</v>
      </c>
      <c r="D26" s="2" t="s">
        <v>529</v>
      </c>
      <c r="E26" s="3">
        <f>0.36*2.5</f>
        <v>0.89999999999999991</v>
      </c>
      <c r="F26" s="1" t="s">
        <v>53</v>
      </c>
      <c r="G26" s="81">
        <v>0</v>
      </c>
      <c r="H26" s="3">
        <v>0</v>
      </c>
      <c r="I26" s="5">
        <f t="shared" si="1"/>
        <v>0</v>
      </c>
      <c r="J26" s="5">
        <f t="shared" si="2"/>
        <v>0</v>
      </c>
    </row>
    <row r="28" spans="1:10" x14ac:dyDescent="0.2">
      <c r="A28" s="132" t="s">
        <v>172</v>
      </c>
      <c r="B28" s="132"/>
      <c r="C28" s="132"/>
      <c r="D28" s="132"/>
      <c r="E28" s="8"/>
      <c r="F28" s="8"/>
      <c r="G28" s="9"/>
      <c r="H28" s="9"/>
      <c r="I28" s="10">
        <f>SUM(I13:I27)</f>
        <v>0</v>
      </c>
      <c r="J28" s="10">
        <f>SUM(J13:J27)</f>
        <v>0</v>
      </c>
    </row>
    <row r="31" spans="1:10" ht="89.25" x14ac:dyDescent="0.2">
      <c r="A31" s="7">
        <v>1</v>
      </c>
      <c r="C31" s="2" t="s">
        <v>500</v>
      </c>
      <c r="D31" s="2" t="s">
        <v>499</v>
      </c>
      <c r="E31" s="3">
        <f>(1.4*3.5-1*2.125)+((2.15*2+4.44)*3.5-((1*2)*2.125+0.81*2.11))+(2.5*3.5-1.5*2.5)</f>
        <v>32.405900000000003</v>
      </c>
      <c r="F31" s="1" t="s">
        <v>1</v>
      </c>
      <c r="G31" s="81">
        <v>0</v>
      </c>
      <c r="H31" s="3">
        <v>0</v>
      </c>
      <c r="I31" s="5">
        <f>E31*G31</f>
        <v>0</v>
      </c>
      <c r="J31" s="5">
        <f>E31*H31</f>
        <v>0</v>
      </c>
    </row>
    <row r="32" spans="1:10" ht="127.5" x14ac:dyDescent="0.2">
      <c r="A32" s="7">
        <f>1+A31</f>
        <v>2</v>
      </c>
      <c r="C32" s="2" t="s">
        <v>110</v>
      </c>
      <c r="D32" s="2" t="s">
        <v>109</v>
      </c>
      <c r="E32" s="3">
        <f>2.2*2.05</f>
        <v>4.51</v>
      </c>
      <c r="F32" s="1" t="s">
        <v>1</v>
      </c>
      <c r="G32" s="81">
        <v>0</v>
      </c>
      <c r="H32" s="3">
        <v>0</v>
      </c>
      <c r="I32" s="5">
        <f>E32*G32</f>
        <v>0</v>
      </c>
      <c r="J32" s="5">
        <f>E32*H32</f>
        <v>0</v>
      </c>
    </row>
    <row r="33" spans="1:11" s="5" customFormat="1" ht="38.25" x14ac:dyDescent="0.2">
      <c r="A33" s="7">
        <f>1+A32</f>
        <v>3</v>
      </c>
      <c r="B33" s="2" t="s">
        <v>111</v>
      </c>
      <c r="C33" s="2"/>
      <c r="D33" s="2" t="s">
        <v>308</v>
      </c>
      <c r="E33" s="1">
        <v>5</v>
      </c>
      <c r="F33" s="1" t="s">
        <v>35</v>
      </c>
      <c r="G33" s="81">
        <v>0</v>
      </c>
      <c r="H33" s="3">
        <v>0</v>
      </c>
      <c r="I33" s="5">
        <f>E33*G33</f>
        <v>0</v>
      </c>
      <c r="J33" s="5">
        <f>E33*H33</f>
        <v>0</v>
      </c>
      <c r="K33" s="1"/>
    </row>
    <row r="35" spans="1:11" x14ac:dyDescent="0.2">
      <c r="A35" s="132" t="s">
        <v>171</v>
      </c>
      <c r="B35" s="132"/>
      <c r="C35" s="132"/>
      <c r="D35" s="132"/>
      <c r="E35" s="8"/>
      <c r="F35" s="8"/>
      <c r="G35" s="9"/>
      <c r="H35" s="9"/>
      <c r="I35" s="10">
        <f>SUM(I31:I34)</f>
        <v>0</v>
      </c>
      <c r="J35" s="10">
        <f>SUM(J31:J34)</f>
        <v>0</v>
      </c>
    </row>
    <row r="38" spans="1:11" ht="76.5" x14ac:dyDescent="0.2">
      <c r="A38" s="7">
        <v>1</v>
      </c>
      <c r="C38" s="2" t="s">
        <v>127</v>
      </c>
      <c r="D38" s="2" t="s">
        <v>126</v>
      </c>
      <c r="E38" s="3">
        <f>+(2.2)*2.15</f>
        <v>4.7300000000000004</v>
      </c>
      <c r="F38" s="1" t="s">
        <v>1</v>
      </c>
      <c r="G38" s="81">
        <v>0</v>
      </c>
      <c r="H38" s="3">
        <v>0</v>
      </c>
      <c r="I38" s="5">
        <f>E38*G38</f>
        <v>0</v>
      </c>
      <c r="J38" s="5">
        <f>E38*H38</f>
        <v>0</v>
      </c>
    </row>
    <row r="39" spans="1:11" ht="140.25" x14ac:dyDescent="0.2">
      <c r="A39" s="7">
        <f>1+A38</f>
        <v>2</v>
      </c>
      <c r="B39" s="2" t="s">
        <v>22</v>
      </c>
      <c r="C39" s="2" t="s">
        <v>113</v>
      </c>
      <c r="D39" s="2" t="s">
        <v>128</v>
      </c>
      <c r="E39" s="3">
        <f>+(2.2+2.05)*2*2.15-(1)*2.15</f>
        <v>16.125</v>
      </c>
      <c r="F39" s="1" t="s">
        <v>1</v>
      </c>
      <c r="G39" s="81">
        <v>0</v>
      </c>
      <c r="H39" s="3">
        <v>0</v>
      </c>
      <c r="I39" s="5">
        <f>E39*G39</f>
        <v>0</v>
      </c>
      <c r="J39" s="5">
        <f>E39*H39</f>
        <v>0</v>
      </c>
    </row>
    <row r="40" spans="1:11" ht="51" x14ac:dyDescent="0.2">
      <c r="A40" s="7">
        <f>1+A39</f>
        <v>3</v>
      </c>
      <c r="B40" s="2" t="s">
        <v>111</v>
      </c>
      <c r="D40" s="2" t="s">
        <v>526</v>
      </c>
      <c r="E40" s="1">
        <v>8</v>
      </c>
      <c r="F40" s="1" t="s">
        <v>35</v>
      </c>
      <c r="G40" s="81">
        <v>0</v>
      </c>
      <c r="H40" s="3">
        <v>0</v>
      </c>
      <c r="I40" s="5">
        <f>E40*G40</f>
        <v>0</v>
      </c>
      <c r="J40" s="5">
        <f>E40*H40</f>
        <v>0</v>
      </c>
    </row>
    <row r="42" spans="1:11" ht="12.75" customHeight="1" x14ac:dyDescent="0.2">
      <c r="A42" s="132" t="s">
        <v>169</v>
      </c>
      <c r="B42" s="132"/>
      <c r="C42" s="132"/>
      <c r="D42" s="132"/>
      <c r="E42" s="8"/>
      <c r="F42" s="8"/>
      <c r="G42" s="9"/>
      <c r="H42" s="9"/>
      <c r="I42" s="10">
        <f>SUM(I38:I41)</f>
        <v>0</v>
      </c>
      <c r="J42" s="10">
        <f>SUM(J38:J41)</f>
        <v>0</v>
      </c>
    </row>
    <row r="45" spans="1:11" ht="127.5" x14ac:dyDescent="0.2">
      <c r="A45" s="7">
        <v>1</v>
      </c>
      <c r="C45" s="2" t="s">
        <v>535</v>
      </c>
      <c r="D45" s="2" t="s">
        <v>536</v>
      </c>
      <c r="E45" s="1">
        <v>3</v>
      </c>
      <c r="F45" s="1" t="s">
        <v>35</v>
      </c>
      <c r="G45" s="81">
        <v>0</v>
      </c>
      <c r="H45" s="3">
        <v>0</v>
      </c>
      <c r="I45" s="5">
        <f>E45*G45</f>
        <v>0</v>
      </c>
      <c r="J45" s="5">
        <f>E45*H45</f>
        <v>0</v>
      </c>
    </row>
    <row r="46" spans="1:11" ht="165.75" x14ac:dyDescent="0.2">
      <c r="A46" s="7">
        <f t="shared" ref="A46:A56" si="4">1+A45</f>
        <v>2</v>
      </c>
      <c r="B46" s="2" t="s">
        <v>111</v>
      </c>
      <c r="D46" s="2" t="s">
        <v>537</v>
      </c>
    </row>
    <row r="47" spans="1:11" ht="38.25" x14ac:dyDescent="0.2">
      <c r="D47" s="2" t="s">
        <v>538</v>
      </c>
      <c r="E47" s="1">
        <v>1</v>
      </c>
      <c r="F47" s="1" t="s">
        <v>35</v>
      </c>
      <c r="G47" s="81">
        <v>0</v>
      </c>
      <c r="H47" s="3">
        <v>0</v>
      </c>
      <c r="I47" s="5">
        <f t="shared" ref="I47:I55" si="5">E47*G47</f>
        <v>0</v>
      </c>
      <c r="J47" s="5">
        <f t="shared" ref="J47:J55" si="6">E47*H47</f>
        <v>0</v>
      </c>
    </row>
    <row r="48" spans="1:11" ht="51" x14ac:dyDescent="0.2">
      <c r="A48" s="7">
        <f>1+A46</f>
        <v>3</v>
      </c>
      <c r="B48" s="2" t="s">
        <v>111</v>
      </c>
      <c r="D48" s="2" t="s">
        <v>540</v>
      </c>
      <c r="E48" s="1">
        <v>1</v>
      </c>
      <c r="F48" s="1" t="s">
        <v>35</v>
      </c>
      <c r="G48" s="81">
        <v>0</v>
      </c>
      <c r="H48" s="3">
        <v>0</v>
      </c>
      <c r="I48" s="5">
        <f t="shared" si="5"/>
        <v>0</v>
      </c>
      <c r="J48" s="5">
        <f t="shared" si="6"/>
        <v>0</v>
      </c>
    </row>
    <row r="49" spans="1:10" ht="25.5" x14ac:dyDescent="0.2">
      <c r="A49" s="7">
        <f t="shared" si="4"/>
        <v>4</v>
      </c>
      <c r="B49" s="2" t="s">
        <v>111</v>
      </c>
      <c r="D49" s="2" t="s">
        <v>539</v>
      </c>
      <c r="E49" s="1">
        <v>1</v>
      </c>
      <c r="F49" s="1" t="s">
        <v>35</v>
      </c>
      <c r="G49" s="81">
        <v>0</v>
      </c>
      <c r="H49" s="3">
        <v>0</v>
      </c>
      <c r="I49" s="5">
        <f t="shared" si="5"/>
        <v>0</v>
      </c>
      <c r="J49" s="5">
        <f t="shared" si="6"/>
        <v>0</v>
      </c>
    </row>
    <row r="50" spans="1:10" ht="51" x14ac:dyDescent="0.2">
      <c r="A50" s="7">
        <f t="shared" si="4"/>
        <v>5</v>
      </c>
      <c r="B50" s="2" t="s">
        <v>22</v>
      </c>
      <c r="C50" s="2" t="s">
        <v>129</v>
      </c>
      <c r="D50" s="2" t="s">
        <v>136</v>
      </c>
      <c r="E50" s="1">
        <v>2</v>
      </c>
      <c r="F50" s="1" t="s">
        <v>35</v>
      </c>
      <c r="G50" s="81">
        <v>0</v>
      </c>
      <c r="H50" s="3">
        <v>0</v>
      </c>
      <c r="I50" s="5">
        <f t="shared" si="5"/>
        <v>0</v>
      </c>
      <c r="J50" s="5">
        <f t="shared" si="6"/>
        <v>0</v>
      </c>
    </row>
    <row r="51" spans="1:10" s="11" customFormat="1" ht="63.75" x14ac:dyDescent="0.2">
      <c r="A51" s="111">
        <f t="shared" si="4"/>
        <v>6</v>
      </c>
      <c r="B51" s="6" t="s">
        <v>22</v>
      </c>
      <c r="C51" s="6" t="s">
        <v>174</v>
      </c>
      <c r="D51" s="6" t="s">
        <v>478</v>
      </c>
      <c r="E51" s="11">
        <v>15</v>
      </c>
      <c r="F51" s="11" t="s">
        <v>35</v>
      </c>
      <c r="G51" s="81">
        <v>0</v>
      </c>
      <c r="H51" s="3">
        <v>0</v>
      </c>
      <c r="I51" s="112">
        <f t="shared" si="5"/>
        <v>0</v>
      </c>
      <c r="J51" s="112">
        <f t="shared" si="6"/>
        <v>0</v>
      </c>
    </row>
    <row r="52" spans="1:10" s="11" customFormat="1" ht="63.75" x14ac:dyDescent="0.2">
      <c r="A52" s="111">
        <f t="shared" si="4"/>
        <v>7</v>
      </c>
      <c r="B52" s="6" t="s">
        <v>22</v>
      </c>
      <c r="C52" s="6" t="s">
        <v>174</v>
      </c>
      <c r="D52" s="6" t="s">
        <v>541</v>
      </c>
      <c r="E52" s="11">
        <v>15</v>
      </c>
      <c r="F52" s="11" t="s">
        <v>35</v>
      </c>
      <c r="G52" s="81">
        <v>0</v>
      </c>
      <c r="H52" s="3">
        <v>0</v>
      </c>
      <c r="I52" s="112">
        <f t="shared" si="5"/>
        <v>0</v>
      </c>
      <c r="J52" s="112">
        <f t="shared" si="6"/>
        <v>0</v>
      </c>
    </row>
    <row r="53" spans="1:10" ht="51" x14ac:dyDescent="0.2">
      <c r="A53" s="111">
        <f t="shared" si="4"/>
        <v>8</v>
      </c>
      <c r="B53" s="2" t="s">
        <v>111</v>
      </c>
      <c r="D53" s="2" t="s">
        <v>137</v>
      </c>
      <c r="E53" s="1">
        <v>2</v>
      </c>
      <c r="F53" s="1" t="s">
        <v>35</v>
      </c>
      <c r="G53" s="81">
        <v>0</v>
      </c>
      <c r="H53" s="3">
        <v>0</v>
      </c>
      <c r="I53" s="5">
        <f t="shared" si="5"/>
        <v>0</v>
      </c>
      <c r="J53" s="5">
        <f t="shared" si="6"/>
        <v>0</v>
      </c>
    </row>
    <row r="54" spans="1:10" ht="102" x14ac:dyDescent="0.2">
      <c r="A54" s="7">
        <f t="shared" si="4"/>
        <v>9</v>
      </c>
      <c r="B54" s="2" t="s">
        <v>22</v>
      </c>
      <c r="C54" s="2" t="s">
        <v>176</v>
      </c>
      <c r="D54" s="6" t="s">
        <v>175</v>
      </c>
      <c r="E54" s="1">
        <v>1</v>
      </c>
      <c r="F54" s="1" t="s">
        <v>35</v>
      </c>
      <c r="G54" s="81">
        <v>0</v>
      </c>
      <c r="H54" s="3">
        <v>0</v>
      </c>
      <c r="I54" s="5">
        <f t="shared" si="5"/>
        <v>0</v>
      </c>
      <c r="J54" s="5">
        <f t="shared" si="6"/>
        <v>0</v>
      </c>
    </row>
    <row r="55" spans="1:10" ht="102" x14ac:dyDescent="0.2">
      <c r="A55" s="7">
        <f t="shared" si="4"/>
        <v>10</v>
      </c>
      <c r="B55" s="2" t="s">
        <v>22</v>
      </c>
      <c r="C55" s="2" t="s">
        <v>176</v>
      </c>
      <c r="D55" s="6" t="s">
        <v>542</v>
      </c>
      <c r="E55" s="1">
        <v>2</v>
      </c>
      <c r="F55" s="1" t="s">
        <v>35</v>
      </c>
      <c r="G55" s="81">
        <v>0</v>
      </c>
      <c r="H55" s="3">
        <v>0</v>
      </c>
      <c r="I55" s="5">
        <f t="shared" si="5"/>
        <v>0</v>
      </c>
      <c r="J55" s="5">
        <f t="shared" si="6"/>
        <v>0</v>
      </c>
    </row>
    <row r="56" spans="1:10" ht="191.25" x14ac:dyDescent="0.2">
      <c r="A56" s="7">
        <f t="shared" si="4"/>
        <v>11</v>
      </c>
      <c r="B56" s="2" t="s">
        <v>111</v>
      </c>
      <c r="D56" s="2" t="s">
        <v>496</v>
      </c>
    </row>
    <row r="57" spans="1:10" ht="63.75" x14ac:dyDescent="0.2">
      <c r="B57" s="2" t="s">
        <v>111</v>
      </c>
      <c r="D57" s="2" t="s">
        <v>498</v>
      </c>
      <c r="E57" s="1">
        <v>1</v>
      </c>
      <c r="F57" s="1" t="s">
        <v>35</v>
      </c>
      <c r="G57" s="81">
        <v>0</v>
      </c>
      <c r="H57" s="3">
        <v>0</v>
      </c>
      <c r="I57" s="5">
        <f>E57*G57</f>
        <v>0</v>
      </c>
      <c r="J57" s="5">
        <f>E57*H57</f>
        <v>0</v>
      </c>
    </row>
    <row r="58" spans="1:10" ht="102" x14ac:dyDescent="0.2">
      <c r="A58" s="7">
        <f>1+A56</f>
        <v>12</v>
      </c>
      <c r="B58" s="2" t="s">
        <v>22</v>
      </c>
      <c r="C58" s="2" t="s">
        <v>155</v>
      </c>
      <c r="D58" s="2" t="s">
        <v>154</v>
      </c>
      <c r="E58" s="1">
        <v>1</v>
      </c>
      <c r="F58" s="1" t="s">
        <v>35</v>
      </c>
      <c r="G58" s="3">
        <v>0</v>
      </c>
      <c r="H58" s="3">
        <v>0</v>
      </c>
      <c r="I58" s="5">
        <f>E58*G58</f>
        <v>0</v>
      </c>
      <c r="J58" s="5">
        <f>E58*H58</f>
        <v>0</v>
      </c>
    </row>
    <row r="59" spans="1:10" x14ac:dyDescent="0.2">
      <c r="D59" s="1"/>
    </row>
    <row r="60" spans="1:10" ht="12.75" customHeight="1" x14ac:dyDescent="0.2">
      <c r="A60" s="132" t="s">
        <v>173</v>
      </c>
      <c r="B60" s="132"/>
      <c r="C60" s="132"/>
      <c r="D60" s="132"/>
      <c r="E60" s="8"/>
      <c r="F60" s="8"/>
      <c r="G60" s="9"/>
      <c r="H60" s="9"/>
      <c r="I60" s="10">
        <f>SUM(I45:I59)</f>
        <v>0</v>
      </c>
      <c r="J60" s="10">
        <f>SUM(J45:J59)</f>
        <v>0</v>
      </c>
    </row>
    <row r="63" spans="1:10" ht="114.75" x14ac:dyDescent="0.2">
      <c r="A63" s="7">
        <v>1</v>
      </c>
      <c r="B63" s="2" t="s">
        <v>22</v>
      </c>
      <c r="C63" s="2" t="s">
        <v>130</v>
      </c>
      <c r="D63" s="2" t="s">
        <v>277</v>
      </c>
      <c r="E63" s="1">
        <v>2</v>
      </c>
      <c r="F63" s="1" t="s">
        <v>35</v>
      </c>
      <c r="G63" s="81">
        <v>0</v>
      </c>
      <c r="H63" s="3">
        <v>0</v>
      </c>
      <c r="I63" s="5">
        <f t="shared" ref="I63:I68" si="7">E63*G63</f>
        <v>0</v>
      </c>
      <c r="J63" s="5">
        <f t="shared" ref="J63:J68" si="8">E63*H63</f>
        <v>0</v>
      </c>
    </row>
    <row r="64" spans="1:10" ht="114.75" x14ac:dyDescent="0.2">
      <c r="A64" s="7">
        <f>1+A63</f>
        <v>2</v>
      </c>
      <c r="B64" s="2" t="s">
        <v>22</v>
      </c>
      <c r="C64" s="2" t="s">
        <v>131</v>
      </c>
      <c r="D64" s="2" t="s">
        <v>278</v>
      </c>
      <c r="E64" s="1">
        <v>11</v>
      </c>
      <c r="F64" s="1" t="s">
        <v>35</v>
      </c>
      <c r="G64" s="81">
        <v>0</v>
      </c>
      <c r="H64" s="3">
        <v>0</v>
      </c>
      <c r="I64" s="5">
        <f t="shared" si="7"/>
        <v>0</v>
      </c>
      <c r="J64" s="5">
        <f t="shared" si="8"/>
        <v>0</v>
      </c>
    </row>
    <row r="65" spans="1:10" ht="114.75" x14ac:dyDescent="0.2">
      <c r="A65" s="7">
        <f>1+A64</f>
        <v>3</v>
      </c>
      <c r="B65" s="2" t="s">
        <v>22</v>
      </c>
      <c r="C65" s="2" t="s">
        <v>132</v>
      </c>
      <c r="D65" s="2" t="s">
        <v>279</v>
      </c>
      <c r="E65" s="1">
        <v>5</v>
      </c>
      <c r="F65" s="1" t="s">
        <v>35</v>
      </c>
      <c r="G65" s="81">
        <v>0</v>
      </c>
      <c r="H65" s="3">
        <v>0</v>
      </c>
      <c r="I65" s="5">
        <f t="shared" si="7"/>
        <v>0</v>
      </c>
      <c r="J65" s="5">
        <f t="shared" si="8"/>
        <v>0</v>
      </c>
    </row>
    <row r="66" spans="1:10" ht="114.75" x14ac:dyDescent="0.2">
      <c r="A66" s="7">
        <f t="shared" ref="A66:A68" si="9">1+A65</f>
        <v>4</v>
      </c>
      <c r="B66" s="2" t="s">
        <v>22</v>
      </c>
      <c r="C66" s="2" t="s">
        <v>280</v>
      </c>
      <c r="D66" s="6" t="s">
        <v>281</v>
      </c>
      <c r="E66" s="1">
        <v>2</v>
      </c>
      <c r="F66" s="1" t="s">
        <v>35</v>
      </c>
      <c r="G66" s="81">
        <v>0</v>
      </c>
      <c r="H66" s="3">
        <v>0</v>
      </c>
      <c r="I66" s="5">
        <f t="shared" si="7"/>
        <v>0</v>
      </c>
      <c r="J66" s="5">
        <f t="shared" si="8"/>
        <v>0</v>
      </c>
    </row>
    <row r="67" spans="1:10" ht="76.5" x14ac:dyDescent="0.2">
      <c r="A67" s="7">
        <f t="shared" si="9"/>
        <v>5</v>
      </c>
      <c r="B67" s="2" t="s">
        <v>22</v>
      </c>
      <c r="C67" s="2" t="s">
        <v>280</v>
      </c>
      <c r="D67" s="6" t="s">
        <v>282</v>
      </c>
      <c r="E67" s="1">
        <v>1</v>
      </c>
      <c r="F67" s="1" t="s">
        <v>35</v>
      </c>
      <c r="G67" s="81">
        <v>0</v>
      </c>
      <c r="H67" s="3">
        <v>0</v>
      </c>
      <c r="I67" s="5">
        <f t="shared" si="7"/>
        <v>0</v>
      </c>
      <c r="J67" s="5">
        <f t="shared" si="8"/>
        <v>0</v>
      </c>
    </row>
    <row r="68" spans="1:10" ht="114.75" x14ac:dyDescent="0.2">
      <c r="A68" s="7">
        <f t="shared" si="9"/>
        <v>6</v>
      </c>
      <c r="B68" s="2" t="s">
        <v>22</v>
      </c>
      <c r="C68" s="2" t="s">
        <v>285</v>
      </c>
      <c r="D68" s="2" t="s">
        <v>286</v>
      </c>
      <c r="E68" s="1">
        <v>3</v>
      </c>
      <c r="F68" s="1" t="s">
        <v>35</v>
      </c>
      <c r="G68" s="81">
        <v>0</v>
      </c>
      <c r="H68" s="3">
        <v>0</v>
      </c>
      <c r="I68" s="5">
        <f t="shared" si="7"/>
        <v>0</v>
      </c>
      <c r="J68" s="5">
        <f t="shared" si="8"/>
        <v>0</v>
      </c>
    </row>
    <row r="70" spans="1:10" ht="12.75" customHeight="1" x14ac:dyDescent="0.2">
      <c r="A70" s="132" t="s">
        <v>177</v>
      </c>
      <c r="B70" s="132"/>
      <c r="C70" s="132"/>
      <c r="D70" s="132"/>
      <c r="E70" s="8"/>
      <c r="F70" s="8"/>
      <c r="G70" s="9"/>
      <c r="H70" s="9"/>
      <c r="I70" s="10">
        <f>SUM(I63:I69)</f>
        <v>0</v>
      </c>
      <c r="J70" s="10">
        <f>SUM(J63:J69)</f>
        <v>0</v>
      </c>
    </row>
    <row r="73" spans="1:10" ht="51" x14ac:dyDescent="0.2">
      <c r="A73" s="7">
        <v>1</v>
      </c>
      <c r="B73" s="2" t="s">
        <v>22</v>
      </c>
      <c r="C73" s="2" t="s">
        <v>134</v>
      </c>
      <c r="D73" s="2" t="s">
        <v>133</v>
      </c>
      <c r="E73" s="3">
        <f>+(7.35)*0.55+(12.4*3.5-(2.5*2.95*1+1*2.15*1+0.81*2.11*1))+(92.04*3.5-((1.2*8+1.65*5)*2.3+1*2.15*2+0.81*2.11*1+1.5*2.5*1+2.5*2.95*1+1.4*2.95))+(13.9*4.3-(1.5*2.5*1+1.6*3.4))</f>
        <v>346.60930000000002</v>
      </c>
      <c r="F73" s="1" t="s">
        <v>1</v>
      </c>
      <c r="G73" s="81">
        <v>0</v>
      </c>
      <c r="H73" s="3">
        <v>0</v>
      </c>
      <c r="I73" s="5">
        <f t="shared" ref="I73:I79" si="10">E73*G73</f>
        <v>0</v>
      </c>
      <c r="J73" s="5">
        <f t="shared" ref="J73:J79" si="11">E73*H73</f>
        <v>0</v>
      </c>
    </row>
    <row r="74" spans="1:10" ht="102" x14ac:dyDescent="0.2">
      <c r="A74" s="7">
        <f>1+A73</f>
        <v>2</v>
      </c>
      <c r="C74" s="2" t="s">
        <v>115</v>
      </c>
      <c r="D74" s="2" t="s">
        <v>114</v>
      </c>
      <c r="E74" s="3">
        <f>E73/2</f>
        <v>173.30465000000001</v>
      </c>
      <c r="F74" s="1" t="s">
        <v>1</v>
      </c>
      <c r="G74" s="81">
        <v>0</v>
      </c>
      <c r="H74" s="3">
        <v>0</v>
      </c>
      <c r="I74" s="5">
        <f t="shared" si="10"/>
        <v>0</v>
      </c>
      <c r="J74" s="5">
        <f t="shared" si="11"/>
        <v>0</v>
      </c>
    </row>
    <row r="75" spans="1:10" ht="89.25" x14ac:dyDescent="0.2">
      <c r="A75" s="7">
        <f>1+A74</f>
        <v>3</v>
      </c>
      <c r="B75" s="2" t="s">
        <v>22</v>
      </c>
      <c r="C75" s="2" t="s">
        <v>135</v>
      </c>
      <c r="D75" s="2" t="s">
        <v>479</v>
      </c>
      <c r="E75" s="3">
        <f>E74*2+(8.97+4.51+121.22)-E76</f>
        <v>381.30930000000001</v>
      </c>
      <c r="F75" s="1" t="s">
        <v>1</v>
      </c>
      <c r="G75" s="81">
        <v>0</v>
      </c>
      <c r="H75" s="3">
        <v>0</v>
      </c>
      <c r="I75" s="5">
        <f t="shared" si="10"/>
        <v>0</v>
      </c>
      <c r="J75" s="5">
        <f t="shared" si="11"/>
        <v>0</v>
      </c>
    </row>
    <row r="76" spans="1:10" ht="89.25" x14ac:dyDescent="0.2">
      <c r="A76" s="7">
        <f t="shared" ref="A76:A79" si="12">1+A75</f>
        <v>4</v>
      </c>
      <c r="B76" s="2" t="s">
        <v>22</v>
      </c>
      <c r="C76" s="2" t="s">
        <v>135</v>
      </c>
      <c r="D76" s="2" t="s">
        <v>480</v>
      </c>
      <c r="E76" s="3">
        <v>100</v>
      </c>
      <c r="F76" s="1" t="s">
        <v>1</v>
      </c>
      <c r="G76" s="81">
        <v>0</v>
      </c>
      <c r="H76" s="3">
        <v>0</v>
      </c>
      <c r="I76" s="5">
        <f t="shared" si="10"/>
        <v>0</v>
      </c>
      <c r="J76" s="5">
        <f t="shared" si="11"/>
        <v>0</v>
      </c>
    </row>
    <row r="77" spans="1:10" ht="51" x14ac:dyDescent="0.2">
      <c r="A77" s="7">
        <f t="shared" si="12"/>
        <v>5</v>
      </c>
      <c r="B77" s="2" t="s">
        <v>22</v>
      </c>
      <c r="C77" s="2" t="s">
        <v>319</v>
      </c>
      <c r="D77" s="2" t="s">
        <v>481</v>
      </c>
      <c r="E77" s="3">
        <f>+(0.95*2.2*2+5.35*0.325+5.9*0.2*2)*8+(1.4*2.2*2+5.8*0.325+6.35*0.2*2)*4+(1.4*2.2*2+5.8*0.51+6.35*0.2*2)*1</f>
        <v>120.22799999999999</v>
      </c>
      <c r="F77" s="1" t="s">
        <v>1</v>
      </c>
      <c r="G77" s="81">
        <v>0</v>
      </c>
      <c r="H77" s="3">
        <v>0</v>
      </c>
      <c r="I77" s="5">
        <f t="shared" si="10"/>
        <v>0</v>
      </c>
      <c r="J77" s="5">
        <f t="shared" si="11"/>
        <v>0</v>
      </c>
    </row>
    <row r="78" spans="1:10" ht="51" x14ac:dyDescent="0.2">
      <c r="A78" s="7">
        <f t="shared" si="12"/>
        <v>6</v>
      </c>
      <c r="B78" s="2" t="s">
        <v>22</v>
      </c>
      <c r="C78" s="2" t="s">
        <v>320</v>
      </c>
      <c r="D78" s="2" t="s">
        <v>482</v>
      </c>
      <c r="E78" s="3">
        <f>E77</f>
        <v>120.22799999999999</v>
      </c>
      <c r="F78" s="1" t="s">
        <v>1</v>
      </c>
      <c r="G78" s="81">
        <v>0</v>
      </c>
      <c r="H78" s="3">
        <v>0</v>
      </c>
      <c r="I78" s="5">
        <f t="shared" si="10"/>
        <v>0</v>
      </c>
      <c r="J78" s="5">
        <f t="shared" si="11"/>
        <v>0</v>
      </c>
    </row>
    <row r="79" spans="1:10" ht="63.75" x14ac:dyDescent="0.2">
      <c r="A79" s="7">
        <f t="shared" si="12"/>
        <v>7</v>
      </c>
      <c r="B79" s="2" t="s">
        <v>22</v>
      </c>
      <c r="C79" s="2" t="s">
        <v>321</v>
      </c>
      <c r="D79" s="2" t="s">
        <v>483</v>
      </c>
      <c r="E79" s="3">
        <f>E78</f>
        <v>120.22799999999999</v>
      </c>
      <c r="F79" s="1" t="s">
        <v>1</v>
      </c>
      <c r="G79" s="81">
        <v>0</v>
      </c>
      <c r="H79" s="3">
        <v>0</v>
      </c>
      <c r="I79" s="5">
        <f t="shared" si="10"/>
        <v>0</v>
      </c>
      <c r="J79" s="5">
        <f t="shared" si="11"/>
        <v>0</v>
      </c>
    </row>
    <row r="81" spans="1:10" ht="12.75" customHeight="1" x14ac:dyDescent="0.2">
      <c r="A81" s="132" t="s">
        <v>178</v>
      </c>
      <c r="B81" s="132"/>
      <c r="C81" s="132"/>
      <c r="D81" s="132"/>
      <c r="E81" s="8"/>
      <c r="F81" s="8"/>
      <c r="G81" s="9"/>
      <c r="H81" s="9"/>
      <c r="I81" s="10">
        <f>SUM(I73:I80)</f>
        <v>0</v>
      </c>
      <c r="J81" s="10">
        <f>SUM(J73:J80)</f>
        <v>0</v>
      </c>
    </row>
    <row r="84" spans="1:10" ht="25.5" x14ac:dyDescent="0.2">
      <c r="A84" s="7">
        <v>1</v>
      </c>
      <c r="C84" s="2" t="s">
        <v>270</v>
      </c>
      <c r="D84" s="2" t="s">
        <v>269</v>
      </c>
      <c r="E84" s="3">
        <v>30</v>
      </c>
      <c r="F84" s="1" t="s">
        <v>11</v>
      </c>
      <c r="G84" s="81">
        <v>0</v>
      </c>
      <c r="H84" s="3">
        <v>0</v>
      </c>
      <c r="I84" s="5">
        <f t="shared" ref="I84:I127" si="13">E84*G84</f>
        <v>0</v>
      </c>
      <c r="J84" s="5">
        <f t="shared" ref="J84:J127" si="14">E84*H84</f>
        <v>0</v>
      </c>
    </row>
    <row r="85" spans="1:10" ht="25.5" x14ac:dyDescent="0.2">
      <c r="A85" s="7">
        <f>1+A84</f>
        <v>2</v>
      </c>
      <c r="C85" s="2" t="s">
        <v>272</v>
      </c>
      <c r="D85" s="2" t="s">
        <v>271</v>
      </c>
      <c r="E85" s="3">
        <v>40</v>
      </c>
      <c r="F85" s="1" t="s">
        <v>11</v>
      </c>
      <c r="G85" s="81">
        <v>0</v>
      </c>
      <c r="H85" s="3">
        <v>0</v>
      </c>
      <c r="I85" s="5">
        <f t="shared" si="13"/>
        <v>0</v>
      </c>
      <c r="J85" s="5">
        <f t="shared" si="14"/>
        <v>0</v>
      </c>
    </row>
    <row r="86" spans="1:10" ht="102" x14ac:dyDescent="0.2">
      <c r="A86" s="7">
        <f>1+A85</f>
        <v>3</v>
      </c>
      <c r="C86" s="2" t="s">
        <v>180</v>
      </c>
      <c r="D86" s="2" t="s">
        <v>182</v>
      </c>
      <c r="E86" s="3">
        <v>30</v>
      </c>
      <c r="F86" s="1" t="s">
        <v>11</v>
      </c>
      <c r="G86" s="81">
        <v>0</v>
      </c>
      <c r="H86" s="3">
        <v>0</v>
      </c>
      <c r="I86" s="5">
        <f t="shared" si="13"/>
        <v>0</v>
      </c>
      <c r="J86" s="5">
        <f t="shared" si="14"/>
        <v>0</v>
      </c>
    </row>
    <row r="87" spans="1:10" ht="102" x14ac:dyDescent="0.2">
      <c r="A87" s="7">
        <f t="shared" ref="A87:A127" si="15">1+A86</f>
        <v>4</v>
      </c>
      <c r="C87" s="2" t="s">
        <v>243</v>
      </c>
      <c r="D87" s="2" t="s">
        <v>242</v>
      </c>
      <c r="E87" s="3">
        <v>40</v>
      </c>
      <c r="F87" s="1" t="s">
        <v>11</v>
      </c>
      <c r="G87" s="81">
        <v>0</v>
      </c>
      <c r="H87" s="3">
        <v>0</v>
      </c>
      <c r="I87" s="5">
        <f t="shared" si="13"/>
        <v>0</v>
      </c>
      <c r="J87" s="5">
        <f t="shared" si="14"/>
        <v>0</v>
      </c>
    </row>
    <row r="88" spans="1:10" ht="102" x14ac:dyDescent="0.2">
      <c r="A88" s="7">
        <f t="shared" si="15"/>
        <v>5</v>
      </c>
      <c r="C88" s="2" t="s">
        <v>183</v>
      </c>
      <c r="D88" s="2" t="s">
        <v>181</v>
      </c>
      <c r="E88" s="3">
        <v>30</v>
      </c>
      <c r="F88" s="1" t="s">
        <v>11</v>
      </c>
      <c r="G88" s="81">
        <v>0</v>
      </c>
      <c r="H88" s="3">
        <v>0</v>
      </c>
      <c r="I88" s="5">
        <f t="shared" si="13"/>
        <v>0</v>
      </c>
      <c r="J88" s="5">
        <f t="shared" si="14"/>
        <v>0</v>
      </c>
    </row>
    <row r="89" spans="1:10" ht="102" x14ac:dyDescent="0.2">
      <c r="A89" s="7">
        <f t="shared" si="15"/>
        <v>6</v>
      </c>
      <c r="C89" s="2" t="s">
        <v>185</v>
      </c>
      <c r="D89" s="2" t="s">
        <v>184</v>
      </c>
      <c r="E89" s="3">
        <v>10</v>
      </c>
      <c r="F89" s="1" t="s">
        <v>11</v>
      </c>
      <c r="G89" s="81">
        <v>0</v>
      </c>
      <c r="H89" s="3">
        <v>0</v>
      </c>
      <c r="I89" s="5">
        <f t="shared" si="13"/>
        <v>0</v>
      </c>
      <c r="J89" s="5">
        <f t="shared" si="14"/>
        <v>0</v>
      </c>
    </row>
    <row r="90" spans="1:10" ht="89.25" x14ac:dyDescent="0.2">
      <c r="A90" s="7">
        <f t="shared" si="15"/>
        <v>7</v>
      </c>
      <c r="C90" s="2" t="s">
        <v>187</v>
      </c>
      <c r="D90" s="2" t="s">
        <v>186</v>
      </c>
      <c r="E90" s="3">
        <v>20</v>
      </c>
      <c r="F90" s="1" t="s">
        <v>11</v>
      </c>
      <c r="G90" s="81">
        <v>0</v>
      </c>
      <c r="H90" s="3">
        <v>0</v>
      </c>
      <c r="I90" s="5">
        <f t="shared" si="13"/>
        <v>0</v>
      </c>
      <c r="J90" s="5">
        <f t="shared" si="14"/>
        <v>0</v>
      </c>
    </row>
    <row r="91" spans="1:10" ht="89.25" x14ac:dyDescent="0.2">
      <c r="A91" s="7">
        <f t="shared" si="15"/>
        <v>8</v>
      </c>
      <c r="C91" s="2" t="s">
        <v>193</v>
      </c>
      <c r="D91" s="2" t="s">
        <v>192</v>
      </c>
      <c r="E91" s="5">
        <v>1</v>
      </c>
      <c r="F91" s="1" t="s">
        <v>35</v>
      </c>
      <c r="G91" s="81">
        <v>0</v>
      </c>
      <c r="H91" s="3">
        <v>0</v>
      </c>
      <c r="I91" s="5">
        <f t="shared" si="13"/>
        <v>0</v>
      </c>
      <c r="J91" s="5">
        <f t="shared" si="14"/>
        <v>0</v>
      </c>
    </row>
    <row r="92" spans="1:10" ht="76.5" x14ac:dyDescent="0.2">
      <c r="A92" s="7">
        <f t="shared" si="15"/>
        <v>9</v>
      </c>
      <c r="C92" s="2" t="s">
        <v>189</v>
      </c>
      <c r="D92" s="2" t="s">
        <v>188</v>
      </c>
      <c r="E92" s="5">
        <v>3</v>
      </c>
      <c r="F92" s="1" t="s">
        <v>35</v>
      </c>
      <c r="G92" s="81">
        <v>0</v>
      </c>
      <c r="H92" s="3">
        <v>0</v>
      </c>
      <c r="I92" s="5">
        <f t="shared" si="13"/>
        <v>0</v>
      </c>
      <c r="J92" s="5">
        <f t="shared" si="14"/>
        <v>0</v>
      </c>
    </row>
    <row r="93" spans="1:10" ht="63.75" x14ac:dyDescent="0.2">
      <c r="A93" s="7">
        <f t="shared" si="15"/>
        <v>10</v>
      </c>
      <c r="C93" s="2" t="s">
        <v>191</v>
      </c>
      <c r="D93" s="2" t="s">
        <v>190</v>
      </c>
      <c r="E93" s="5">
        <v>3</v>
      </c>
      <c r="F93" s="1" t="s">
        <v>35</v>
      </c>
      <c r="G93" s="81">
        <v>0</v>
      </c>
      <c r="H93" s="3">
        <v>0</v>
      </c>
      <c r="I93" s="5">
        <f t="shared" si="13"/>
        <v>0</v>
      </c>
      <c r="J93" s="5">
        <f t="shared" si="14"/>
        <v>0</v>
      </c>
    </row>
    <row r="94" spans="1:10" ht="127.5" x14ac:dyDescent="0.2">
      <c r="A94" s="7">
        <f t="shared" si="15"/>
        <v>11</v>
      </c>
      <c r="C94" s="2" t="s">
        <v>195</v>
      </c>
      <c r="D94" s="2" t="s">
        <v>194</v>
      </c>
      <c r="E94" s="5">
        <v>1</v>
      </c>
      <c r="F94" s="1" t="s">
        <v>35</v>
      </c>
      <c r="G94" s="81">
        <v>0</v>
      </c>
      <c r="H94" s="3">
        <v>0</v>
      </c>
      <c r="I94" s="5">
        <f t="shared" si="13"/>
        <v>0</v>
      </c>
      <c r="J94" s="5">
        <f t="shared" si="14"/>
        <v>0</v>
      </c>
    </row>
    <row r="95" spans="1:10" ht="102" x14ac:dyDescent="0.2">
      <c r="A95" s="7">
        <f t="shared" si="15"/>
        <v>12</v>
      </c>
      <c r="C95" s="2" t="s">
        <v>207</v>
      </c>
      <c r="D95" s="2" t="s">
        <v>206</v>
      </c>
      <c r="E95" s="3">
        <v>25</v>
      </c>
      <c r="F95" s="1" t="s">
        <v>11</v>
      </c>
      <c r="G95" s="81">
        <v>0</v>
      </c>
      <c r="H95" s="3">
        <v>0</v>
      </c>
      <c r="I95" s="5">
        <f t="shared" si="13"/>
        <v>0</v>
      </c>
      <c r="J95" s="5">
        <f t="shared" si="14"/>
        <v>0</v>
      </c>
    </row>
    <row r="96" spans="1:10" ht="102" x14ac:dyDescent="0.2">
      <c r="A96" s="7">
        <f t="shared" si="15"/>
        <v>13</v>
      </c>
      <c r="C96" s="2" t="s">
        <v>197</v>
      </c>
      <c r="D96" s="2" t="s">
        <v>196</v>
      </c>
      <c r="E96" s="3">
        <v>100</v>
      </c>
      <c r="F96" s="1" t="s">
        <v>11</v>
      </c>
      <c r="G96" s="81">
        <v>0</v>
      </c>
      <c r="H96" s="3">
        <v>0</v>
      </c>
      <c r="I96" s="5">
        <f t="shared" si="13"/>
        <v>0</v>
      </c>
      <c r="J96" s="5">
        <f t="shared" si="14"/>
        <v>0</v>
      </c>
    </row>
    <row r="97" spans="1:10" ht="25.5" x14ac:dyDescent="0.2">
      <c r="A97" s="7">
        <f t="shared" si="15"/>
        <v>14</v>
      </c>
      <c r="C97" s="2" t="s">
        <v>199</v>
      </c>
      <c r="D97" s="2" t="s">
        <v>198</v>
      </c>
      <c r="E97" s="3">
        <v>40</v>
      </c>
      <c r="F97" s="1" t="s">
        <v>11</v>
      </c>
      <c r="G97" s="81">
        <v>0</v>
      </c>
      <c r="H97" s="3">
        <v>0</v>
      </c>
      <c r="I97" s="5">
        <f t="shared" si="13"/>
        <v>0</v>
      </c>
      <c r="J97" s="5">
        <f t="shared" si="14"/>
        <v>0</v>
      </c>
    </row>
    <row r="98" spans="1:10" ht="25.5" x14ac:dyDescent="0.2">
      <c r="A98" s="7">
        <f t="shared" si="15"/>
        <v>15</v>
      </c>
      <c r="C98" s="2" t="s">
        <v>201</v>
      </c>
      <c r="D98" s="2" t="s">
        <v>200</v>
      </c>
      <c r="E98" s="3">
        <v>25</v>
      </c>
      <c r="F98" s="1" t="s">
        <v>11</v>
      </c>
      <c r="G98" s="81">
        <v>0</v>
      </c>
      <c r="H98" s="3">
        <v>0</v>
      </c>
      <c r="I98" s="5">
        <f t="shared" si="13"/>
        <v>0</v>
      </c>
      <c r="J98" s="5">
        <f t="shared" si="14"/>
        <v>0</v>
      </c>
    </row>
    <row r="99" spans="1:10" ht="102" x14ac:dyDescent="0.2">
      <c r="A99" s="7">
        <f t="shared" si="15"/>
        <v>16</v>
      </c>
      <c r="C99" s="2" t="s">
        <v>203</v>
      </c>
      <c r="D99" s="2" t="s">
        <v>202</v>
      </c>
      <c r="E99" s="3">
        <v>50</v>
      </c>
      <c r="F99" s="1" t="s">
        <v>11</v>
      </c>
      <c r="G99" s="81">
        <v>0</v>
      </c>
      <c r="H99" s="3">
        <v>0</v>
      </c>
      <c r="I99" s="5">
        <f t="shared" si="13"/>
        <v>0</v>
      </c>
      <c r="J99" s="5">
        <f t="shared" si="14"/>
        <v>0</v>
      </c>
    </row>
    <row r="100" spans="1:10" ht="102" x14ac:dyDescent="0.2">
      <c r="A100" s="7">
        <f t="shared" si="15"/>
        <v>17</v>
      </c>
      <c r="C100" s="2" t="s">
        <v>205</v>
      </c>
      <c r="D100" s="2" t="s">
        <v>204</v>
      </c>
      <c r="E100" s="3">
        <v>0</v>
      </c>
      <c r="F100" s="1" t="s">
        <v>11</v>
      </c>
      <c r="G100" s="81">
        <v>0</v>
      </c>
      <c r="H100" s="3">
        <v>0</v>
      </c>
      <c r="I100" s="5">
        <f t="shared" si="13"/>
        <v>0</v>
      </c>
      <c r="J100" s="5">
        <f t="shared" si="14"/>
        <v>0</v>
      </c>
    </row>
    <row r="101" spans="1:10" ht="25.5" x14ac:dyDescent="0.2">
      <c r="A101" s="7">
        <f t="shared" si="15"/>
        <v>18</v>
      </c>
      <c r="C101" s="2" t="s">
        <v>245</v>
      </c>
      <c r="D101" s="2" t="s">
        <v>244</v>
      </c>
      <c r="E101" s="3">
        <v>0</v>
      </c>
      <c r="F101" s="1" t="s">
        <v>11</v>
      </c>
      <c r="G101" s="81">
        <v>0</v>
      </c>
      <c r="H101" s="3">
        <v>0</v>
      </c>
      <c r="I101" s="5">
        <f t="shared" si="13"/>
        <v>0</v>
      </c>
      <c r="J101" s="5">
        <f t="shared" si="14"/>
        <v>0</v>
      </c>
    </row>
    <row r="102" spans="1:10" ht="76.5" x14ac:dyDescent="0.2">
      <c r="A102" s="7">
        <f t="shared" si="15"/>
        <v>19</v>
      </c>
      <c r="C102" s="2" t="s">
        <v>209</v>
      </c>
      <c r="D102" s="2" t="s">
        <v>208</v>
      </c>
      <c r="E102" s="5">
        <v>2</v>
      </c>
      <c r="F102" s="1" t="s">
        <v>35</v>
      </c>
      <c r="G102" s="81">
        <v>0</v>
      </c>
      <c r="H102" s="3">
        <v>0</v>
      </c>
      <c r="I102" s="5">
        <f t="shared" si="13"/>
        <v>0</v>
      </c>
      <c r="J102" s="5">
        <f t="shared" si="14"/>
        <v>0</v>
      </c>
    </row>
    <row r="103" spans="1:10" ht="76.5" x14ac:dyDescent="0.2">
      <c r="A103" s="7">
        <f t="shared" si="15"/>
        <v>20</v>
      </c>
      <c r="C103" s="2" t="s">
        <v>211</v>
      </c>
      <c r="D103" s="2" t="s">
        <v>210</v>
      </c>
      <c r="E103" s="5">
        <v>0</v>
      </c>
      <c r="F103" s="1" t="s">
        <v>35</v>
      </c>
      <c r="G103" s="81">
        <v>0</v>
      </c>
      <c r="H103" s="3">
        <v>0</v>
      </c>
      <c r="I103" s="5">
        <f t="shared" si="13"/>
        <v>0</v>
      </c>
      <c r="J103" s="5">
        <f t="shared" si="14"/>
        <v>0</v>
      </c>
    </row>
    <row r="104" spans="1:10" ht="63.75" x14ac:dyDescent="0.2">
      <c r="A104" s="7">
        <f t="shared" si="15"/>
        <v>21</v>
      </c>
      <c r="C104" s="2" t="s">
        <v>213</v>
      </c>
      <c r="D104" s="2" t="s">
        <v>212</v>
      </c>
      <c r="E104" s="5">
        <v>2</v>
      </c>
      <c r="F104" s="1" t="s">
        <v>35</v>
      </c>
      <c r="G104" s="81">
        <v>0</v>
      </c>
      <c r="H104" s="3">
        <v>0</v>
      </c>
      <c r="I104" s="5">
        <f t="shared" si="13"/>
        <v>0</v>
      </c>
      <c r="J104" s="5">
        <f t="shared" si="14"/>
        <v>0</v>
      </c>
    </row>
    <row r="105" spans="1:10" ht="51" x14ac:dyDescent="0.2">
      <c r="A105" s="7">
        <f t="shared" si="15"/>
        <v>22</v>
      </c>
      <c r="C105" s="2" t="s">
        <v>215</v>
      </c>
      <c r="D105" s="2" t="s">
        <v>214</v>
      </c>
      <c r="E105" s="5">
        <v>2</v>
      </c>
      <c r="F105" s="1" t="s">
        <v>35</v>
      </c>
      <c r="G105" s="81">
        <v>0</v>
      </c>
      <c r="H105" s="3">
        <v>0</v>
      </c>
      <c r="I105" s="5">
        <f t="shared" si="13"/>
        <v>0</v>
      </c>
      <c r="J105" s="5">
        <f t="shared" si="14"/>
        <v>0</v>
      </c>
    </row>
    <row r="106" spans="1:10" ht="51" x14ac:dyDescent="0.2">
      <c r="A106" s="7">
        <f t="shared" si="15"/>
        <v>23</v>
      </c>
      <c r="C106" s="2" t="s">
        <v>217</v>
      </c>
      <c r="D106" s="2" t="s">
        <v>216</v>
      </c>
      <c r="E106" s="5">
        <v>0</v>
      </c>
      <c r="F106" s="1" t="s">
        <v>35</v>
      </c>
      <c r="G106" s="81">
        <v>0</v>
      </c>
      <c r="H106" s="3">
        <v>0</v>
      </c>
      <c r="I106" s="5">
        <f t="shared" si="13"/>
        <v>0</v>
      </c>
      <c r="J106" s="5">
        <f t="shared" si="14"/>
        <v>0</v>
      </c>
    </row>
    <row r="107" spans="1:10" ht="63.75" x14ac:dyDescent="0.2">
      <c r="A107" s="7">
        <f t="shared" si="15"/>
        <v>24</v>
      </c>
      <c r="C107" s="2" t="s">
        <v>219</v>
      </c>
      <c r="D107" s="2" t="s">
        <v>218</v>
      </c>
      <c r="E107" s="5">
        <v>2</v>
      </c>
      <c r="F107" s="1" t="s">
        <v>35</v>
      </c>
      <c r="G107" s="81">
        <v>0</v>
      </c>
      <c r="H107" s="3">
        <v>0</v>
      </c>
      <c r="I107" s="5">
        <f t="shared" si="13"/>
        <v>0</v>
      </c>
      <c r="J107" s="5">
        <f t="shared" si="14"/>
        <v>0</v>
      </c>
    </row>
    <row r="108" spans="1:10" ht="63.75" x14ac:dyDescent="0.2">
      <c r="A108" s="7">
        <f t="shared" si="15"/>
        <v>25</v>
      </c>
      <c r="C108" s="2" t="s">
        <v>221</v>
      </c>
      <c r="D108" s="2" t="s">
        <v>220</v>
      </c>
      <c r="E108" s="5">
        <v>2</v>
      </c>
      <c r="F108" s="1" t="s">
        <v>35</v>
      </c>
      <c r="G108" s="81">
        <v>0</v>
      </c>
      <c r="H108" s="3">
        <v>0</v>
      </c>
      <c r="I108" s="5">
        <f t="shared" si="13"/>
        <v>0</v>
      </c>
      <c r="J108" s="5">
        <f t="shared" si="14"/>
        <v>0</v>
      </c>
    </row>
    <row r="109" spans="1:10" ht="63.75" x14ac:dyDescent="0.2">
      <c r="A109" s="7">
        <f t="shared" si="15"/>
        <v>26</v>
      </c>
      <c r="C109" s="2" t="s">
        <v>223</v>
      </c>
      <c r="D109" s="2" t="s">
        <v>222</v>
      </c>
      <c r="E109" s="5">
        <v>1</v>
      </c>
      <c r="F109" s="1" t="s">
        <v>35</v>
      </c>
      <c r="G109" s="81">
        <v>0</v>
      </c>
      <c r="H109" s="3">
        <v>0</v>
      </c>
      <c r="I109" s="5">
        <f t="shared" si="13"/>
        <v>0</v>
      </c>
      <c r="J109" s="5">
        <f t="shared" si="14"/>
        <v>0</v>
      </c>
    </row>
    <row r="110" spans="1:10" ht="25.5" x14ac:dyDescent="0.2">
      <c r="A110" s="7">
        <f t="shared" si="15"/>
        <v>27</v>
      </c>
      <c r="C110" s="2" t="s">
        <v>225</v>
      </c>
      <c r="D110" s="2" t="s">
        <v>224</v>
      </c>
      <c r="E110" s="5">
        <v>1</v>
      </c>
      <c r="F110" s="1" t="s">
        <v>35</v>
      </c>
      <c r="G110" s="81">
        <v>0</v>
      </c>
      <c r="H110" s="3">
        <v>0</v>
      </c>
      <c r="I110" s="5">
        <f t="shared" si="13"/>
        <v>0</v>
      </c>
      <c r="J110" s="5">
        <f t="shared" si="14"/>
        <v>0</v>
      </c>
    </row>
    <row r="111" spans="1:10" ht="76.5" x14ac:dyDescent="0.2">
      <c r="A111" s="7">
        <f t="shared" si="15"/>
        <v>28</v>
      </c>
      <c r="C111" s="2" t="s">
        <v>227</v>
      </c>
      <c r="D111" s="2" t="s">
        <v>226</v>
      </c>
      <c r="E111" s="5">
        <v>2</v>
      </c>
      <c r="F111" s="1" t="s">
        <v>35</v>
      </c>
      <c r="G111" s="81">
        <v>0</v>
      </c>
      <c r="H111" s="3">
        <v>0</v>
      </c>
      <c r="I111" s="5">
        <f t="shared" si="13"/>
        <v>0</v>
      </c>
      <c r="J111" s="5">
        <f t="shared" si="14"/>
        <v>0</v>
      </c>
    </row>
    <row r="112" spans="1:10" ht="25.5" x14ac:dyDescent="0.2">
      <c r="A112" s="7">
        <f t="shared" si="15"/>
        <v>29</v>
      </c>
      <c r="C112" s="2" t="s">
        <v>229</v>
      </c>
      <c r="D112" s="2" t="s">
        <v>228</v>
      </c>
      <c r="E112" s="5">
        <v>3</v>
      </c>
      <c r="F112" s="1" t="s">
        <v>35</v>
      </c>
      <c r="G112" s="81">
        <v>0</v>
      </c>
      <c r="H112" s="3">
        <v>0</v>
      </c>
      <c r="I112" s="5">
        <f t="shared" si="13"/>
        <v>0</v>
      </c>
      <c r="J112" s="5">
        <f t="shared" si="14"/>
        <v>0</v>
      </c>
    </row>
    <row r="113" spans="1:10" ht="76.5" x14ac:dyDescent="0.2">
      <c r="A113" s="7">
        <f t="shared" si="15"/>
        <v>30</v>
      </c>
      <c r="C113" s="2" t="s">
        <v>231</v>
      </c>
      <c r="D113" s="2" t="s">
        <v>230</v>
      </c>
      <c r="E113" s="5">
        <v>2</v>
      </c>
      <c r="F113" s="1" t="s">
        <v>35</v>
      </c>
      <c r="G113" s="81">
        <v>0</v>
      </c>
      <c r="H113" s="3">
        <v>0</v>
      </c>
      <c r="I113" s="5">
        <f t="shared" si="13"/>
        <v>0</v>
      </c>
      <c r="J113" s="5">
        <f t="shared" si="14"/>
        <v>0</v>
      </c>
    </row>
    <row r="114" spans="1:10" ht="25.5" x14ac:dyDescent="0.2">
      <c r="A114" s="7">
        <f t="shared" si="15"/>
        <v>31</v>
      </c>
      <c r="C114" s="2" t="s">
        <v>233</v>
      </c>
      <c r="D114" s="2" t="s">
        <v>232</v>
      </c>
      <c r="E114" s="5">
        <v>0</v>
      </c>
      <c r="F114" s="1" t="s">
        <v>35</v>
      </c>
      <c r="G114" s="81">
        <v>0</v>
      </c>
      <c r="H114" s="3">
        <v>0</v>
      </c>
      <c r="I114" s="5">
        <f t="shared" si="13"/>
        <v>0</v>
      </c>
      <c r="J114" s="5">
        <f t="shared" si="14"/>
        <v>0</v>
      </c>
    </row>
    <row r="115" spans="1:10" s="11" customFormat="1" ht="76.5" x14ac:dyDescent="0.2">
      <c r="A115" s="111">
        <f t="shared" si="15"/>
        <v>32</v>
      </c>
      <c r="B115" s="6"/>
      <c r="C115" s="6" t="s">
        <v>235</v>
      </c>
      <c r="D115" s="6" t="s">
        <v>234</v>
      </c>
      <c r="E115" s="112">
        <v>1</v>
      </c>
      <c r="F115" s="11" t="s">
        <v>35</v>
      </c>
      <c r="G115" s="81">
        <v>0</v>
      </c>
      <c r="H115" s="3">
        <v>0</v>
      </c>
      <c r="I115" s="112">
        <f t="shared" si="13"/>
        <v>0</v>
      </c>
      <c r="J115" s="112">
        <f t="shared" si="14"/>
        <v>0</v>
      </c>
    </row>
    <row r="116" spans="1:10" ht="76.5" x14ac:dyDescent="0.2">
      <c r="A116" s="7">
        <f t="shared" si="15"/>
        <v>33</v>
      </c>
      <c r="C116" s="2" t="s">
        <v>237</v>
      </c>
      <c r="D116" s="2" t="s">
        <v>236</v>
      </c>
      <c r="E116" s="5">
        <v>0</v>
      </c>
      <c r="F116" s="1" t="s">
        <v>35</v>
      </c>
      <c r="G116" s="81">
        <v>0</v>
      </c>
      <c r="H116" s="3">
        <v>0</v>
      </c>
      <c r="I116" s="5">
        <f t="shared" si="13"/>
        <v>0</v>
      </c>
      <c r="J116" s="5">
        <f t="shared" si="14"/>
        <v>0</v>
      </c>
    </row>
    <row r="117" spans="1:10" ht="114.75" x14ac:dyDescent="0.2">
      <c r="A117" s="7">
        <f t="shared" si="15"/>
        <v>34</v>
      </c>
      <c r="C117" s="2" t="s">
        <v>239</v>
      </c>
      <c r="D117" s="2" t="s">
        <v>238</v>
      </c>
      <c r="E117" s="5">
        <v>0</v>
      </c>
      <c r="F117" s="1" t="s">
        <v>35</v>
      </c>
      <c r="G117" s="81">
        <v>0</v>
      </c>
      <c r="H117" s="3">
        <v>0</v>
      </c>
      <c r="I117" s="5">
        <f t="shared" si="13"/>
        <v>0</v>
      </c>
      <c r="J117" s="5">
        <f t="shared" si="14"/>
        <v>0</v>
      </c>
    </row>
    <row r="118" spans="1:10" ht="114.75" x14ac:dyDescent="0.2">
      <c r="A118" s="7">
        <f t="shared" si="15"/>
        <v>35</v>
      </c>
      <c r="C118" s="2" t="s">
        <v>241</v>
      </c>
      <c r="D118" s="2" t="s">
        <v>240</v>
      </c>
      <c r="E118" s="5">
        <v>1</v>
      </c>
      <c r="F118" s="1" t="s">
        <v>35</v>
      </c>
      <c r="G118" s="81">
        <v>0</v>
      </c>
      <c r="H118" s="3">
        <v>0</v>
      </c>
      <c r="I118" s="5">
        <f t="shared" si="13"/>
        <v>0</v>
      </c>
      <c r="J118" s="5">
        <f t="shared" si="14"/>
        <v>0</v>
      </c>
    </row>
    <row r="119" spans="1:10" ht="76.5" x14ac:dyDescent="0.2">
      <c r="A119" s="7">
        <f t="shared" si="15"/>
        <v>36</v>
      </c>
      <c r="B119" s="2" t="s">
        <v>22</v>
      </c>
      <c r="C119" s="2" t="s">
        <v>246</v>
      </c>
      <c r="D119" s="2" t="s">
        <v>247</v>
      </c>
      <c r="E119" s="5">
        <v>1</v>
      </c>
      <c r="F119" s="1" t="s">
        <v>35</v>
      </c>
      <c r="G119" s="81">
        <v>0</v>
      </c>
      <c r="H119" s="3">
        <v>0</v>
      </c>
      <c r="I119" s="5">
        <f t="shared" si="13"/>
        <v>0</v>
      </c>
      <c r="J119" s="5">
        <f t="shared" si="14"/>
        <v>0</v>
      </c>
    </row>
    <row r="120" spans="1:10" ht="76.5" x14ac:dyDescent="0.2">
      <c r="A120" s="7">
        <f t="shared" si="15"/>
        <v>37</v>
      </c>
      <c r="B120" s="2" t="s">
        <v>22</v>
      </c>
      <c r="C120" s="2" t="s">
        <v>249</v>
      </c>
      <c r="D120" s="2" t="s">
        <v>250</v>
      </c>
      <c r="E120" s="5">
        <v>0</v>
      </c>
      <c r="F120" s="1" t="s">
        <v>35</v>
      </c>
      <c r="G120" s="81">
        <v>0</v>
      </c>
      <c r="H120" s="3">
        <v>0</v>
      </c>
      <c r="I120" s="5">
        <f t="shared" si="13"/>
        <v>0</v>
      </c>
      <c r="J120" s="5">
        <f t="shared" si="14"/>
        <v>0</v>
      </c>
    </row>
    <row r="121" spans="1:10" ht="76.5" x14ac:dyDescent="0.2">
      <c r="A121" s="7">
        <f t="shared" si="15"/>
        <v>38</v>
      </c>
      <c r="B121" s="2" t="s">
        <v>22</v>
      </c>
      <c r="C121" s="2" t="s">
        <v>251</v>
      </c>
      <c r="D121" s="2" t="s">
        <v>252</v>
      </c>
      <c r="E121" s="5">
        <v>3</v>
      </c>
      <c r="F121" s="1" t="s">
        <v>35</v>
      </c>
      <c r="G121" s="81">
        <v>0</v>
      </c>
      <c r="H121" s="3">
        <v>0</v>
      </c>
      <c r="I121" s="5">
        <f t="shared" si="13"/>
        <v>0</v>
      </c>
      <c r="J121" s="5">
        <f t="shared" si="14"/>
        <v>0</v>
      </c>
    </row>
    <row r="122" spans="1:10" ht="76.5" x14ac:dyDescent="0.2">
      <c r="A122" s="7">
        <f t="shared" si="15"/>
        <v>39</v>
      </c>
      <c r="B122" s="2" t="s">
        <v>22</v>
      </c>
      <c r="C122" s="2" t="s">
        <v>253</v>
      </c>
      <c r="D122" s="2" t="s">
        <v>248</v>
      </c>
      <c r="E122" s="5">
        <v>0</v>
      </c>
      <c r="F122" s="1" t="s">
        <v>35</v>
      </c>
      <c r="G122" s="81">
        <v>0</v>
      </c>
      <c r="H122" s="3">
        <v>0</v>
      </c>
      <c r="I122" s="5">
        <f t="shared" si="13"/>
        <v>0</v>
      </c>
      <c r="J122" s="5">
        <f t="shared" si="14"/>
        <v>0</v>
      </c>
    </row>
    <row r="123" spans="1:10" ht="89.25" x14ac:dyDescent="0.2">
      <c r="A123" s="7">
        <f t="shared" si="15"/>
        <v>40</v>
      </c>
      <c r="B123" s="2" t="s">
        <v>22</v>
      </c>
      <c r="C123" s="2" t="s">
        <v>264</v>
      </c>
      <c r="D123" s="2" t="s">
        <v>263</v>
      </c>
      <c r="E123" s="5">
        <v>1</v>
      </c>
      <c r="F123" s="1" t="s">
        <v>35</v>
      </c>
      <c r="G123" s="81">
        <v>0</v>
      </c>
      <c r="H123" s="3">
        <v>0</v>
      </c>
      <c r="I123" s="5">
        <f t="shared" si="13"/>
        <v>0</v>
      </c>
      <c r="J123" s="5">
        <f t="shared" si="14"/>
        <v>0</v>
      </c>
    </row>
    <row r="124" spans="1:10" ht="76.5" x14ac:dyDescent="0.2">
      <c r="A124" s="7">
        <f t="shared" si="15"/>
        <v>41</v>
      </c>
      <c r="B124" s="2" t="s">
        <v>22</v>
      </c>
      <c r="C124" s="2" t="s">
        <v>261</v>
      </c>
      <c r="D124" s="2" t="s">
        <v>262</v>
      </c>
      <c r="E124" s="5">
        <v>1</v>
      </c>
      <c r="F124" s="1" t="s">
        <v>35</v>
      </c>
      <c r="G124" s="81">
        <v>0</v>
      </c>
      <c r="H124" s="3">
        <v>0</v>
      </c>
      <c r="I124" s="5">
        <f t="shared" si="13"/>
        <v>0</v>
      </c>
      <c r="J124" s="5">
        <f t="shared" si="14"/>
        <v>0</v>
      </c>
    </row>
    <row r="125" spans="1:10" ht="63.75" x14ac:dyDescent="0.2">
      <c r="A125" s="7">
        <f t="shared" si="15"/>
        <v>42</v>
      </c>
      <c r="C125" s="2" t="s">
        <v>255</v>
      </c>
      <c r="D125" s="2" t="s">
        <v>254</v>
      </c>
      <c r="E125" s="5">
        <v>10</v>
      </c>
      <c r="F125" s="1" t="s">
        <v>35</v>
      </c>
      <c r="G125" s="81">
        <v>0</v>
      </c>
      <c r="H125" s="3">
        <v>0</v>
      </c>
      <c r="I125" s="5">
        <f t="shared" si="13"/>
        <v>0</v>
      </c>
      <c r="J125" s="5">
        <f t="shared" si="14"/>
        <v>0</v>
      </c>
    </row>
    <row r="126" spans="1:10" ht="38.25" x14ac:dyDescent="0.2">
      <c r="A126" s="7">
        <f t="shared" si="15"/>
        <v>43</v>
      </c>
      <c r="C126" s="2" t="s">
        <v>257</v>
      </c>
      <c r="D126" s="2" t="s">
        <v>256</v>
      </c>
      <c r="E126" s="5">
        <v>3</v>
      </c>
      <c r="F126" s="1" t="s">
        <v>35</v>
      </c>
      <c r="G126" s="81">
        <v>0</v>
      </c>
      <c r="H126" s="3">
        <v>0</v>
      </c>
      <c r="I126" s="5">
        <f t="shared" si="13"/>
        <v>0</v>
      </c>
      <c r="J126" s="5">
        <f t="shared" si="14"/>
        <v>0</v>
      </c>
    </row>
    <row r="127" spans="1:10" ht="25.5" x14ac:dyDescent="0.2">
      <c r="A127" s="7">
        <f t="shared" si="15"/>
        <v>44</v>
      </c>
      <c r="C127" s="2" t="s">
        <v>259</v>
      </c>
      <c r="D127" s="2" t="s">
        <v>258</v>
      </c>
      <c r="E127" s="5">
        <v>100</v>
      </c>
      <c r="F127" s="1" t="s">
        <v>260</v>
      </c>
      <c r="G127" s="81">
        <v>0</v>
      </c>
      <c r="H127" s="3">
        <v>0</v>
      </c>
      <c r="I127" s="5">
        <f t="shared" si="13"/>
        <v>0</v>
      </c>
      <c r="J127" s="5">
        <f t="shared" si="14"/>
        <v>0</v>
      </c>
    </row>
    <row r="129" spans="1:10" ht="12.75" customHeight="1" x14ac:dyDescent="0.2">
      <c r="A129" s="132" t="s">
        <v>283</v>
      </c>
      <c r="B129" s="132"/>
      <c r="C129" s="132"/>
      <c r="D129" s="132"/>
      <c r="E129" s="8"/>
      <c r="F129" s="8"/>
      <c r="G129" s="9"/>
      <c r="H129" s="9"/>
      <c r="I129" s="10">
        <f>SUM(I84:I128)</f>
        <v>0</v>
      </c>
      <c r="J129" s="10">
        <f>SUM(J84:J128)</f>
        <v>0</v>
      </c>
    </row>
    <row r="132" spans="1:10" ht="25.5" x14ac:dyDescent="0.2">
      <c r="A132" s="7">
        <v>1</v>
      </c>
      <c r="C132" s="2" t="s">
        <v>270</v>
      </c>
      <c r="D132" s="2" t="s">
        <v>269</v>
      </c>
      <c r="E132" s="3">
        <v>40</v>
      </c>
      <c r="F132" s="1" t="s">
        <v>11</v>
      </c>
      <c r="G132" s="81">
        <v>0</v>
      </c>
      <c r="H132" s="3">
        <v>0</v>
      </c>
      <c r="I132" s="5">
        <f>E132*G132</f>
        <v>0</v>
      </c>
      <c r="J132" s="5">
        <f>E132*H132</f>
        <v>0</v>
      </c>
    </row>
    <row r="133" spans="1:10" ht="102" x14ac:dyDescent="0.2">
      <c r="A133" s="7">
        <f>1+A132</f>
        <v>2</v>
      </c>
      <c r="C133" s="2" t="s">
        <v>180</v>
      </c>
      <c r="D133" s="2" t="s">
        <v>182</v>
      </c>
      <c r="E133" s="3">
        <f>E132</f>
        <v>40</v>
      </c>
      <c r="F133" s="1" t="s">
        <v>11</v>
      </c>
      <c r="G133" s="81">
        <v>0</v>
      </c>
      <c r="H133" s="3">
        <v>0</v>
      </c>
      <c r="I133" s="5">
        <f>E133*G133</f>
        <v>0</v>
      </c>
      <c r="J133" s="5">
        <f>E133*H133</f>
        <v>0</v>
      </c>
    </row>
    <row r="134" spans="1:10" ht="102" x14ac:dyDescent="0.2">
      <c r="A134" s="7">
        <f t="shared" ref="A134:A136" si="16">1+A133</f>
        <v>3</v>
      </c>
      <c r="C134" s="2" t="s">
        <v>268</v>
      </c>
      <c r="D134" s="2" t="s">
        <v>267</v>
      </c>
      <c r="E134" s="3">
        <f>E133</f>
        <v>40</v>
      </c>
      <c r="F134" s="1" t="s">
        <v>11</v>
      </c>
      <c r="G134" s="81">
        <v>0</v>
      </c>
      <c r="H134" s="3">
        <v>0</v>
      </c>
      <c r="I134" s="5">
        <f>E134*G134</f>
        <v>0</v>
      </c>
      <c r="J134" s="5">
        <f>E134*H134</f>
        <v>0</v>
      </c>
    </row>
    <row r="135" spans="1:10" ht="89.25" x14ac:dyDescent="0.2">
      <c r="A135" s="7">
        <f t="shared" si="16"/>
        <v>4</v>
      </c>
      <c r="C135" s="2" t="s">
        <v>266</v>
      </c>
      <c r="D135" s="2" t="s">
        <v>265</v>
      </c>
      <c r="E135" s="5">
        <v>1</v>
      </c>
      <c r="F135" s="1" t="s">
        <v>35</v>
      </c>
      <c r="G135" s="81">
        <v>0</v>
      </c>
      <c r="H135" s="3">
        <v>0</v>
      </c>
      <c r="I135" s="5">
        <f>E135*G135</f>
        <v>0</v>
      </c>
      <c r="J135" s="5">
        <f>E135*H135</f>
        <v>0</v>
      </c>
    </row>
    <row r="136" spans="1:10" ht="76.5" x14ac:dyDescent="0.2">
      <c r="A136" s="7">
        <f t="shared" si="16"/>
        <v>5</v>
      </c>
      <c r="B136" s="2" t="s">
        <v>111</v>
      </c>
      <c r="D136" s="2" t="s">
        <v>522</v>
      </c>
      <c r="E136" s="5">
        <v>1</v>
      </c>
      <c r="F136" s="1" t="s">
        <v>377</v>
      </c>
      <c r="G136" s="81">
        <v>0</v>
      </c>
      <c r="H136" s="3">
        <v>0</v>
      </c>
      <c r="I136" s="5">
        <f>E136*G136</f>
        <v>0</v>
      </c>
      <c r="J136" s="5">
        <f>E136*H136</f>
        <v>0</v>
      </c>
    </row>
    <row r="138" spans="1:10" ht="12.75" customHeight="1" x14ac:dyDescent="0.2">
      <c r="A138" s="132" t="s">
        <v>284</v>
      </c>
      <c r="B138" s="132"/>
      <c r="C138" s="132"/>
      <c r="D138" s="132"/>
      <c r="E138" s="8"/>
      <c r="F138" s="8"/>
      <c r="G138" s="9"/>
      <c r="H138" s="9"/>
      <c r="I138" s="10">
        <f>SUM(I132:I137)</f>
        <v>0</v>
      </c>
      <c r="J138" s="10">
        <f>SUM(J132:J137)</f>
        <v>0</v>
      </c>
    </row>
    <row r="141" spans="1:10" ht="38.25" x14ac:dyDescent="0.2">
      <c r="A141" s="7">
        <v>1</v>
      </c>
      <c r="C141" s="2" t="s">
        <v>314</v>
      </c>
      <c r="D141" s="2" t="s">
        <v>313</v>
      </c>
      <c r="E141" s="3">
        <f>25*2*0.2</f>
        <v>10</v>
      </c>
      <c r="F141" s="1" t="s">
        <v>53</v>
      </c>
      <c r="G141" s="81">
        <v>0</v>
      </c>
      <c r="H141" s="3">
        <v>0</v>
      </c>
      <c r="I141" s="5">
        <f t="shared" ref="I141:I150" si="17">E141*G141</f>
        <v>0</v>
      </c>
      <c r="J141" s="5">
        <f t="shared" ref="J141:J150" si="18">E141*H141</f>
        <v>0</v>
      </c>
    </row>
    <row r="142" spans="1:10" ht="63.75" x14ac:dyDescent="0.2">
      <c r="A142" s="7">
        <f>1+A141</f>
        <v>2</v>
      </c>
      <c r="C142" s="2" t="s">
        <v>316</v>
      </c>
      <c r="D142" s="2" t="s">
        <v>315</v>
      </c>
      <c r="E142" s="3">
        <f>25*2*0.1</f>
        <v>5</v>
      </c>
      <c r="F142" s="1" t="s">
        <v>53</v>
      </c>
      <c r="G142" s="81">
        <v>0</v>
      </c>
      <c r="H142" s="3">
        <v>0</v>
      </c>
      <c r="I142" s="5">
        <f t="shared" si="17"/>
        <v>0</v>
      </c>
      <c r="J142" s="5">
        <f t="shared" si="18"/>
        <v>0</v>
      </c>
    </row>
    <row r="143" spans="1:10" ht="51" x14ac:dyDescent="0.2">
      <c r="A143" s="7">
        <f t="shared" ref="A143:A151" si="19">1+A142</f>
        <v>3</v>
      </c>
      <c r="C143" s="2" t="s">
        <v>55</v>
      </c>
      <c r="D143" s="2" t="s">
        <v>54</v>
      </c>
      <c r="E143" s="3">
        <f>SUM(E141:E142)*1.35</f>
        <v>20.25</v>
      </c>
      <c r="F143" s="1" t="s">
        <v>53</v>
      </c>
      <c r="G143" s="81">
        <v>0</v>
      </c>
      <c r="H143" s="3">
        <v>0</v>
      </c>
      <c r="I143" s="5">
        <f t="shared" si="17"/>
        <v>0</v>
      </c>
      <c r="J143" s="5">
        <f t="shared" si="18"/>
        <v>0</v>
      </c>
    </row>
    <row r="144" spans="1:10" ht="38.25" x14ac:dyDescent="0.2">
      <c r="A144" s="7">
        <f t="shared" si="19"/>
        <v>4</v>
      </c>
      <c r="B144" s="2" t="s">
        <v>22</v>
      </c>
      <c r="C144" s="2" t="s">
        <v>57</v>
      </c>
      <c r="D144" s="2" t="s">
        <v>164</v>
      </c>
      <c r="E144" s="1">
        <v>4</v>
      </c>
      <c r="F144" s="1" t="s">
        <v>35</v>
      </c>
      <c r="G144" s="81">
        <v>0</v>
      </c>
      <c r="H144" s="3">
        <v>0</v>
      </c>
      <c r="I144" s="5">
        <f t="shared" si="17"/>
        <v>0</v>
      </c>
      <c r="J144" s="5">
        <f t="shared" si="18"/>
        <v>0</v>
      </c>
    </row>
    <row r="145" spans="1:10" ht="127.5" x14ac:dyDescent="0.2">
      <c r="A145" s="7">
        <f t="shared" si="19"/>
        <v>5</v>
      </c>
      <c r="C145" s="2" t="s">
        <v>310</v>
      </c>
      <c r="D145" s="2" t="s">
        <v>309</v>
      </c>
      <c r="E145" s="3">
        <f>6.5+1.95+6.5+7</f>
        <v>21.95</v>
      </c>
      <c r="F145" s="1" t="s">
        <v>11</v>
      </c>
      <c r="G145" s="81">
        <v>0</v>
      </c>
      <c r="H145" s="3">
        <v>0</v>
      </c>
      <c r="I145" s="5">
        <f t="shared" si="17"/>
        <v>0</v>
      </c>
      <c r="J145" s="5">
        <f t="shared" si="18"/>
        <v>0</v>
      </c>
    </row>
    <row r="146" spans="1:10" ht="51" x14ac:dyDescent="0.2">
      <c r="A146" s="7">
        <f t="shared" si="19"/>
        <v>6</v>
      </c>
      <c r="C146" s="2" t="s">
        <v>312</v>
      </c>
      <c r="D146" s="2" t="s">
        <v>311</v>
      </c>
      <c r="E146" s="3">
        <f>25*2*0.15</f>
        <v>7.5</v>
      </c>
      <c r="F146" s="1" t="s">
        <v>53</v>
      </c>
      <c r="G146" s="81">
        <v>0</v>
      </c>
      <c r="H146" s="3">
        <v>0</v>
      </c>
      <c r="I146" s="5">
        <f t="shared" si="17"/>
        <v>0</v>
      </c>
      <c r="J146" s="5">
        <f t="shared" si="18"/>
        <v>0</v>
      </c>
    </row>
    <row r="147" spans="1:10" s="11" customFormat="1" ht="25.5" x14ac:dyDescent="0.2">
      <c r="A147" s="111">
        <f t="shared" si="19"/>
        <v>7</v>
      </c>
      <c r="B147" s="6"/>
      <c r="C147" s="6" t="s">
        <v>485</v>
      </c>
      <c r="D147" s="6" t="s">
        <v>484</v>
      </c>
      <c r="E147" s="4">
        <f>(17.5+0.15*2+0.6*2+1.2)*1.12+(17.5+0.6*2+(0.45+0.75))*1</f>
        <v>42.524000000000001</v>
      </c>
      <c r="F147" s="11" t="s">
        <v>1</v>
      </c>
      <c r="G147" s="81">
        <v>0</v>
      </c>
      <c r="H147" s="3">
        <v>0</v>
      </c>
      <c r="I147" s="112">
        <f t="shared" si="17"/>
        <v>0</v>
      </c>
      <c r="J147" s="112">
        <f t="shared" si="18"/>
        <v>0</v>
      </c>
    </row>
    <row r="148" spans="1:10" s="11" customFormat="1" ht="63.75" x14ac:dyDescent="0.2">
      <c r="A148" s="111">
        <f t="shared" si="19"/>
        <v>8</v>
      </c>
      <c r="B148" s="6"/>
      <c r="C148" s="6" t="s">
        <v>81</v>
      </c>
      <c r="D148" s="6" t="s">
        <v>80</v>
      </c>
      <c r="E148" s="4">
        <f>9*21.73</f>
        <v>195.57</v>
      </c>
      <c r="F148" s="11" t="s">
        <v>82</v>
      </c>
      <c r="G148" s="81">
        <v>0</v>
      </c>
      <c r="H148" s="3">
        <v>0</v>
      </c>
      <c r="I148" s="112">
        <f t="shared" si="17"/>
        <v>0</v>
      </c>
      <c r="J148" s="112">
        <f t="shared" si="18"/>
        <v>0</v>
      </c>
    </row>
    <row r="149" spans="1:10" s="11" customFormat="1" ht="102" x14ac:dyDescent="0.2">
      <c r="A149" s="111">
        <f t="shared" si="19"/>
        <v>9</v>
      </c>
      <c r="B149" s="6"/>
      <c r="C149" s="6" t="s">
        <v>487</v>
      </c>
      <c r="D149" s="6" t="s">
        <v>486</v>
      </c>
      <c r="E149" s="4">
        <f>(17.5+0.75*2+1.5)*1*0.15</f>
        <v>3.0749999999999997</v>
      </c>
      <c r="F149" s="11" t="s">
        <v>53</v>
      </c>
      <c r="G149" s="81">
        <v>0</v>
      </c>
      <c r="H149" s="3">
        <v>0</v>
      </c>
      <c r="I149" s="112">
        <f t="shared" si="17"/>
        <v>0</v>
      </c>
      <c r="J149" s="112">
        <f t="shared" si="18"/>
        <v>0</v>
      </c>
    </row>
    <row r="150" spans="1:10" s="11" customFormat="1" ht="114.75" x14ac:dyDescent="0.2">
      <c r="A150" s="111">
        <f t="shared" si="19"/>
        <v>10</v>
      </c>
      <c r="B150" s="6" t="s">
        <v>22</v>
      </c>
      <c r="C150" s="6" t="s">
        <v>489</v>
      </c>
      <c r="D150" s="6" t="s">
        <v>488</v>
      </c>
      <c r="E150" s="4">
        <f>39.59*0.12</f>
        <v>4.7507999999999999</v>
      </c>
      <c r="F150" s="11" t="s">
        <v>53</v>
      </c>
      <c r="G150" s="81">
        <v>0</v>
      </c>
      <c r="H150" s="3">
        <v>0</v>
      </c>
      <c r="I150" s="112">
        <f t="shared" si="17"/>
        <v>0</v>
      </c>
      <c r="J150" s="112">
        <f t="shared" si="18"/>
        <v>0</v>
      </c>
    </row>
    <row r="151" spans="1:10" ht="76.5" x14ac:dyDescent="0.2">
      <c r="A151" s="111">
        <f t="shared" si="19"/>
        <v>11</v>
      </c>
      <c r="B151" s="2" t="s">
        <v>111</v>
      </c>
      <c r="D151" s="2" t="s">
        <v>490</v>
      </c>
      <c r="E151" s="3"/>
      <c r="G151" s="81">
        <v>0</v>
      </c>
      <c r="H151" s="3">
        <v>0</v>
      </c>
    </row>
    <row r="152" spans="1:10" x14ac:dyDescent="0.2">
      <c r="D152" s="2" t="s">
        <v>318</v>
      </c>
      <c r="E152" s="5">
        <v>1</v>
      </c>
      <c r="F152" s="1" t="s">
        <v>35</v>
      </c>
      <c r="G152" s="81">
        <v>0</v>
      </c>
      <c r="H152" s="3">
        <v>0</v>
      </c>
      <c r="I152" s="5">
        <f>E152*G152</f>
        <v>0</v>
      </c>
      <c r="J152" s="5">
        <f>E152*H152</f>
        <v>0</v>
      </c>
    </row>
    <row r="153" spans="1:10" ht="76.5" x14ac:dyDescent="0.2">
      <c r="A153" s="111">
        <f>1+A151</f>
        <v>12</v>
      </c>
      <c r="B153" s="2" t="s">
        <v>111</v>
      </c>
      <c r="D153" s="2" t="s">
        <v>492</v>
      </c>
      <c r="E153" s="5"/>
      <c r="G153" s="81">
        <v>0</v>
      </c>
      <c r="H153" s="3">
        <v>0</v>
      </c>
    </row>
    <row r="154" spans="1:10" x14ac:dyDescent="0.2">
      <c r="D154" s="2" t="s">
        <v>491</v>
      </c>
      <c r="E154" s="5">
        <v>1</v>
      </c>
      <c r="F154" s="1" t="s">
        <v>35</v>
      </c>
      <c r="G154" s="81">
        <v>0</v>
      </c>
      <c r="H154" s="3">
        <v>0</v>
      </c>
      <c r="I154" s="5">
        <f>E154*G154</f>
        <v>0</v>
      </c>
      <c r="J154" s="5">
        <f>E154*H154</f>
        <v>0</v>
      </c>
    </row>
    <row r="155" spans="1:10" x14ac:dyDescent="0.2">
      <c r="A155" s="111">
        <f>1+A153</f>
        <v>13</v>
      </c>
      <c r="B155" s="2" t="s">
        <v>111</v>
      </c>
      <c r="D155" s="2" t="s">
        <v>543</v>
      </c>
      <c r="E155" s="5">
        <v>1</v>
      </c>
      <c r="F155" s="1" t="s">
        <v>35</v>
      </c>
      <c r="G155" s="81">
        <v>0</v>
      </c>
      <c r="H155" s="3">
        <v>0</v>
      </c>
      <c r="I155" s="5">
        <f>E155*G155</f>
        <v>0</v>
      </c>
      <c r="J155" s="5">
        <f>E155*H155</f>
        <v>0</v>
      </c>
    </row>
    <row r="157" spans="1:10" ht="12.75" customHeight="1" x14ac:dyDescent="0.2">
      <c r="A157" s="132" t="s">
        <v>317</v>
      </c>
      <c r="B157" s="132"/>
      <c r="C157" s="132"/>
      <c r="D157" s="132"/>
      <c r="E157" s="8"/>
      <c r="F157" s="8"/>
      <c r="G157" s="9"/>
      <c r="H157" s="9"/>
      <c r="I157" s="10">
        <f>SUM(I145:I156)</f>
        <v>0</v>
      </c>
      <c r="J157" s="10">
        <f>SUM(J145:J156)</f>
        <v>0</v>
      </c>
    </row>
    <row r="161" spans="1:10" s="88" customFormat="1" ht="25.5" x14ac:dyDescent="0.2">
      <c r="A161" s="82">
        <v>1</v>
      </c>
      <c r="B161" s="83" t="s">
        <v>111</v>
      </c>
      <c r="C161" s="83"/>
      <c r="D161" s="84" t="s">
        <v>405</v>
      </c>
      <c r="E161" s="104">
        <v>1</v>
      </c>
      <c r="F161" s="96" t="s">
        <v>377</v>
      </c>
      <c r="G161" s="81">
        <v>0</v>
      </c>
      <c r="H161" s="3">
        <v>0</v>
      </c>
      <c r="I161" s="5">
        <f>E161*G161</f>
        <v>0</v>
      </c>
      <c r="J161" s="5">
        <f>E161*H161</f>
        <v>0</v>
      </c>
    </row>
    <row r="162" spans="1:10" s="88" customFormat="1" x14ac:dyDescent="0.2">
      <c r="A162" s="82"/>
      <c r="B162" s="83"/>
      <c r="C162" s="83"/>
      <c r="D162" s="84"/>
      <c r="E162" s="104"/>
      <c r="F162" s="96"/>
      <c r="G162" s="93"/>
      <c r="H162" s="93"/>
      <c r="I162" s="87"/>
      <c r="J162" s="87"/>
    </row>
    <row r="163" spans="1:10" ht="12.75" customHeight="1" x14ac:dyDescent="0.2">
      <c r="A163" s="132" t="s">
        <v>475</v>
      </c>
      <c r="B163" s="132"/>
      <c r="C163" s="132"/>
      <c r="D163" s="132"/>
      <c r="E163" s="8"/>
      <c r="F163" s="8"/>
      <c r="G163" s="9"/>
      <c r="H163" s="9"/>
      <c r="I163" s="10">
        <f>SUM(I161:I162)</f>
        <v>0</v>
      </c>
      <c r="J163" s="10">
        <f>SUM(J161:J162)</f>
        <v>0</v>
      </c>
    </row>
    <row r="164" spans="1:10" s="88" customFormat="1" x14ac:dyDescent="0.2">
      <c r="A164" s="82"/>
      <c r="B164" s="83"/>
      <c r="C164" s="83"/>
      <c r="D164" s="84"/>
      <c r="E164" s="104"/>
      <c r="F164" s="96"/>
      <c r="G164" s="93"/>
      <c r="H164" s="93"/>
      <c r="I164" s="87"/>
      <c r="J164" s="87"/>
    </row>
    <row r="165" spans="1:10" s="88" customFormat="1" x14ac:dyDescent="0.2">
      <c r="A165" s="82"/>
      <c r="B165" s="83"/>
      <c r="C165" s="83"/>
      <c r="D165" s="84"/>
      <c r="E165" s="104"/>
      <c r="F165" s="96"/>
      <c r="G165" s="93"/>
      <c r="H165" s="93"/>
      <c r="I165" s="87"/>
      <c r="J165" s="87"/>
    </row>
    <row r="166" spans="1:10" s="88" customFormat="1" ht="76.5" x14ac:dyDescent="0.2">
      <c r="A166" s="82">
        <v>1</v>
      </c>
      <c r="B166" s="83" t="s">
        <v>111</v>
      </c>
      <c r="C166" s="83"/>
      <c r="D166" s="113" t="s">
        <v>456</v>
      </c>
      <c r="E166" s="104">
        <v>35</v>
      </c>
      <c r="F166" s="96" t="s">
        <v>11</v>
      </c>
      <c r="G166" s="81">
        <v>0</v>
      </c>
      <c r="H166" s="3">
        <v>0</v>
      </c>
      <c r="I166" s="5">
        <f>E166*G166</f>
        <v>0</v>
      </c>
      <c r="J166" s="5">
        <f>E166*H166</f>
        <v>0</v>
      </c>
    </row>
    <row r="167" spans="1:10" s="88" customFormat="1" ht="38.25" x14ac:dyDescent="0.2">
      <c r="A167" s="82">
        <f>1+A166</f>
        <v>2</v>
      </c>
      <c r="B167" s="83" t="s">
        <v>111</v>
      </c>
      <c r="C167" s="83"/>
      <c r="D167" s="84" t="s">
        <v>457</v>
      </c>
      <c r="E167" s="104">
        <v>25</v>
      </c>
      <c r="F167" s="96" t="s">
        <v>11</v>
      </c>
      <c r="G167" s="81">
        <v>0</v>
      </c>
      <c r="H167" s="3">
        <v>0</v>
      </c>
      <c r="I167" s="5">
        <f>E167*G167</f>
        <v>0</v>
      </c>
      <c r="J167" s="5">
        <f>E167*H167</f>
        <v>0</v>
      </c>
    </row>
    <row r="168" spans="1:10" s="88" customFormat="1" x14ac:dyDescent="0.2">
      <c r="A168" s="82"/>
      <c r="B168" s="83"/>
      <c r="C168" s="83"/>
      <c r="D168" s="114"/>
      <c r="E168" s="104"/>
      <c r="F168" s="96"/>
      <c r="G168" s="93"/>
      <c r="H168" s="93"/>
      <c r="I168" s="87"/>
      <c r="J168" s="87"/>
    </row>
    <row r="169" spans="1:10" ht="12.75" customHeight="1" x14ac:dyDescent="0.2">
      <c r="A169" s="132" t="s">
        <v>451</v>
      </c>
      <c r="B169" s="132"/>
      <c r="C169" s="132"/>
      <c r="D169" s="132"/>
      <c r="E169" s="8"/>
      <c r="F169" s="8"/>
      <c r="G169" s="9"/>
      <c r="H169" s="9"/>
      <c r="I169" s="10">
        <f>SUM(I166:I168)</f>
        <v>0</v>
      </c>
      <c r="J169" s="10">
        <f>SUM(J166:J168)</f>
        <v>0</v>
      </c>
    </row>
    <row r="170" spans="1:10" s="88" customFormat="1" x14ac:dyDescent="0.2">
      <c r="A170" s="82"/>
      <c r="B170" s="83"/>
      <c r="C170" s="83"/>
      <c r="D170" s="114"/>
      <c r="E170" s="104"/>
      <c r="F170" s="96"/>
      <c r="G170" s="93"/>
      <c r="H170" s="93"/>
      <c r="I170" s="87"/>
      <c r="J170" s="87"/>
    </row>
    <row r="171" spans="1:10" s="88" customFormat="1" x14ac:dyDescent="0.2">
      <c r="A171" s="82"/>
      <c r="B171" s="83"/>
      <c r="C171" s="83"/>
      <c r="D171" s="114"/>
      <c r="E171" s="104"/>
      <c r="F171" s="96"/>
      <c r="G171" s="93"/>
      <c r="H171" s="93"/>
      <c r="I171" s="87"/>
      <c r="J171" s="87"/>
    </row>
    <row r="172" spans="1:10" s="88" customFormat="1" ht="114.75" x14ac:dyDescent="0.2">
      <c r="A172" s="82">
        <v>1</v>
      </c>
      <c r="B172" s="83" t="s">
        <v>111</v>
      </c>
      <c r="C172" s="83"/>
      <c r="D172" s="84" t="s">
        <v>455</v>
      </c>
      <c r="E172" s="104">
        <v>60</v>
      </c>
      <c r="F172" s="96" t="s">
        <v>11</v>
      </c>
      <c r="G172" s="81">
        <v>0</v>
      </c>
      <c r="H172" s="3">
        <v>0</v>
      </c>
      <c r="I172" s="5">
        <f t="shared" ref="I172:I177" si="20">E172*G172</f>
        <v>0</v>
      </c>
      <c r="J172" s="5">
        <f t="shared" ref="J172:J177" si="21">E172*H172</f>
        <v>0</v>
      </c>
    </row>
    <row r="173" spans="1:10" s="88" customFormat="1" ht="63.75" x14ac:dyDescent="0.2">
      <c r="A173" s="82">
        <f>1+A172</f>
        <v>2</v>
      </c>
      <c r="B173" s="83" t="s">
        <v>111</v>
      </c>
      <c r="C173" s="83"/>
      <c r="D173" s="84" t="s">
        <v>458</v>
      </c>
      <c r="E173" s="104">
        <v>1</v>
      </c>
      <c r="F173" s="96" t="s">
        <v>11</v>
      </c>
      <c r="G173" s="81">
        <v>0</v>
      </c>
      <c r="H173" s="3">
        <v>0</v>
      </c>
      <c r="I173" s="5">
        <f t="shared" si="20"/>
        <v>0</v>
      </c>
      <c r="J173" s="5">
        <f t="shared" si="21"/>
        <v>0</v>
      </c>
    </row>
    <row r="174" spans="1:10" s="88" customFormat="1" x14ac:dyDescent="0.2">
      <c r="A174" s="82">
        <f t="shared" ref="A174:A177" si="22">1+A173</f>
        <v>3</v>
      </c>
      <c r="B174" s="83" t="s">
        <v>111</v>
      </c>
      <c r="C174" s="83"/>
      <c r="D174" s="84" t="s">
        <v>459</v>
      </c>
      <c r="E174" s="104">
        <v>2</v>
      </c>
      <c r="F174" s="96" t="s">
        <v>11</v>
      </c>
      <c r="G174" s="81">
        <v>0</v>
      </c>
      <c r="H174" s="3">
        <v>0</v>
      </c>
      <c r="I174" s="5">
        <f t="shared" si="20"/>
        <v>0</v>
      </c>
      <c r="J174" s="5">
        <f t="shared" si="21"/>
        <v>0</v>
      </c>
    </row>
    <row r="175" spans="1:10" s="88" customFormat="1" x14ac:dyDescent="0.2">
      <c r="A175" s="82">
        <f t="shared" si="22"/>
        <v>4</v>
      </c>
      <c r="B175" s="83" t="s">
        <v>111</v>
      </c>
      <c r="C175" s="83"/>
      <c r="D175" s="84" t="s">
        <v>460</v>
      </c>
      <c r="E175" s="104">
        <v>1</v>
      </c>
      <c r="F175" s="96" t="s">
        <v>11</v>
      </c>
      <c r="G175" s="81">
        <v>0</v>
      </c>
      <c r="H175" s="3">
        <v>0</v>
      </c>
      <c r="I175" s="5">
        <f t="shared" si="20"/>
        <v>0</v>
      </c>
      <c r="J175" s="5">
        <f t="shared" si="21"/>
        <v>0</v>
      </c>
    </row>
    <row r="176" spans="1:10" s="88" customFormat="1" ht="51" x14ac:dyDescent="0.2">
      <c r="A176" s="82">
        <f t="shared" si="22"/>
        <v>5</v>
      </c>
      <c r="B176" s="83" t="s">
        <v>111</v>
      </c>
      <c r="C176" s="83"/>
      <c r="D176" s="84" t="s">
        <v>461</v>
      </c>
      <c r="E176" s="104">
        <v>3</v>
      </c>
      <c r="F176" s="96" t="s">
        <v>11</v>
      </c>
      <c r="G176" s="81">
        <v>0</v>
      </c>
      <c r="H176" s="3">
        <v>0</v>
      </c>
      <c r="I176" s="5">
        <f t="shared" si="20"/>
        <v>0</v>
      </c>
      <c r="J176" s="5">
        <f t="shared" si="21"/>
        <v>0</v>
      </c>
    </row>
    <row r="177" spans="1:10" s="88" customFormat="1" x14ac:dyDescent="0.2">
      <c r="A177" s="82">
        <f t="shared" si="22"/>
        <v>6</v>
      </c>
      <c r="B177" s="83" t="s">
        <v>111</v>
      </c>
      <c r="C177" s="83"/>
      <c r="D177" s="84" t="s">
        <v>460</v>
      </c>
      <c r="E177" s="104">
        <v>20</v>
      </c>
      <c r="F177" s="96" t="s">
        <v>11</v>
      </c>
      <c r="G177" s="81">
        <v>0</v>
      </c>
      <c r="H177" s="3">
        <v>0</v>
      </c>
      <c r="I177" s="5">
        <f t="shared" si="20"/>
        <v>0</v>
      </c>
      <c r="J177" s="5">
        <f t="shared" si="21"/>
        <v>0</v>
      </c>
    </row>
    <row r="178" spans="1:10" s="88" customFormat="1" x14ac:dyDescent="0.2">
      <c r="A178" s="82"/>
      <c r="B178" s="83"/>
      <c r="C178" s="83"/>
      <c r="D178" s="84"/>
      <c r="E178" s="104"/>
      <c r="F178" s="96"/>
      <c r="G178" s="93"/>
      <c r="H178" s="93"/>
      <c r="I178" s="5"/>
      <c r="J178" s="5"/>
    </row>
    <row r="179" spans="1:10" ht="12.75" customHeight="1" x14ac:dyDescent="0.2">
      <c r="A179" s="132" t="s">
        <v>452</v>
      </c>
      <c r="B179" s="132"/>
      <c r="C179" s="132"/>
      <c r="D179" s="132"/>
      <c r="E179" s="8"/>
      <c r="F179" s="8"/>
      <c r="G179" s="9"/>
      <c r="H179" s="9"/>
      <c r="I179" s="10">
        <f>SUM(I172:I178)</f>
        <v>0</v>
      </c>
      <c r="J179" s="10">
        <f>SUM(J172:J178)</f>
        <v>0</v>
      </c>
    </row>
    <row r="180" spans="1:10" s="88" customFormat="1" x14ac:dyDescent="0.2">
      <c r="A180" s="82"/>
      <c r="B180" s="83"/>
      <c r="C180" s="83"/>
      <c r="D180" s="84"/>
      <c r="E180" s="104"/>
      <c r="F180" s="96"/>
      <c r="G180" s="93"/>
      <c r="H180" s="93"/>
      <c r="I180" s="5"/>
      <c r="J180" s="5"/>
    </row>
    <row r="181" spans="1:10" s="88" customFormat="1" x14ac:dyDescent="0.2">
      <c r="A181" s="82"/>
      <c r="B181" s="83"/>
      <c r="C181" s="83"/>
      <c r="D181" s="84"/>
      <c r="E181" s="104"/>
      <c r="F181" s="96"/>
      <c r="G181" s="93"/>
      <c r="H181" s="93"/>
      <c r="I181" s="5"/>
      <c r="J181" s="5"/>
    </row>
    <row r="182" spans="1:10" s="88" customFormat="1" ht="165.75" x14ac:dyDescent="0.2">
      <c r="A182" s="82">
        <v>1</v>
      </c>
      <c r="B182" s="83" t="s">
        <v>111</v>
      </c>
      <c r="C182" s="83"/>
      <c r="D182" s="84" t="s">
        <v>476</v>
      </c>
      <c r="E182" s="109">
        <v>1</v>
      </c>
      <c r="F182" s="96" t="s">
        <v>35</v>
      </c>
      <c r="G182" s="81">
        <v>0</v>
      </c>
      <c r="H182" s="3">
        <v>0</v>
      </c>
      <c r="I182" s="5">
        <f t="shared" ref="I182:I208" si="23">E182*G182</f>
        <v>0</v>
      </c>
      <c r="J182" s="5">
        <f t="shared" ref="J182:J208" si="24">E182*H182</f>
        <v>0</v>
      </c>
    </row>
    <row r="183" spans="1:10" s="88" customFormat="1" ht="165.75" x14ac:dyDescent="0.2">
      <c r="A183" s="82">
        <f>1+A182</f>
        <v>2</v>
      </c>
      <c r="B183" s="83" t="s">
        <v>111</v>
      </c>
      <c r="C183" s="83"/>
      <c r="D183" s="84" t="s">
        <v>477</v>
      </c>
      <c r="E183" s="109">
        <v>1</v>
      </c>
      <c r="F183" s="96" t="s">
        <v>35</v>
      </c>
      <c r="G183" s="93">
        <v>0</v>
      </c>
      <c r="H183" s="93">
        <v>0</v>
      </c>
      <c r="I183" s="5">
        <f t="shared" si="23"/>
        <v>0</v>
      </c>
      <c r="J183" s="5">
        <f t="shared" si="24"/>
        <v>0</v>
      </c>
    </row>
    <row r="184" spans="1:10" s="88" customFormat="1" ht="89.25" x14ac:dyDescent="0.2">
      <c r="A184" s="82">
        <f t="shared" ref="A184:A185" si="25">1+A183</f>
        <v>3</v>
      </c>
      <c r="B184" s="83" t="s">
        <v>111</v>
      </c>
      <c r="C184" s="83"/>
      <c r="D184" s="84" t="s">
        <v>462</v>
      </c>
      <c r="E184" s="109">
        <v>1</v>
      </c>
      <c r="F184" s="96" t="s">
        <v>35</v>
      </c>
      <c r="G184" s="81">
        <v>0</v>
      </c>
      <c r="H184" s="3">
        <v>0</v>
      </c>
      <c r="I184" s="5">
        <f t="shared" si="23"/>
        <v>0</v>
      </c>
      <c r="J184" s="5">
        <f t="shared" si="24"/>
        <v>0</v>
      </c>
    </row>
    <row r="185" spans="1:10" s="88" customFormat="1" ht="38.25" x14ac:dyDescent="0.2">
      <c r="A185" s="82">
        <f t="shared" si="25"/>
        <v>4</v>
      </c>
      <c r="B185" s="83" t="s">
        <v>111</v>
      </c>
      <c r="C185" s="83"/>
      <c r="D185" s="84" t="s">
        <v>463</v>
      </c>
      <c r="E185" s="109">
        <v>1</v>
      </c>
      <c r="F185" s="96" t="s">
        <v>35</v>
      </c>
      <c r="G185" s="81">
        <v>0</v>
      </c>
      <c r="H185" s="3">
        <v>0</v>
      </c>
      <c r="I185" s="5">
        <f t="shared" si="23"/>
        <v>0</v>
      </c>
      <c r="J185" s="5">
        <f t="shared" si="24"/>
        <v>0</v>
      </c>
    </row>
    <row r="186" spans="1:10" s="88" customFormat="1" ht="25.5" x14ac:dyDescent="0.2">
      <c r="A186" s="82">
        <f t="shared" ref="A186:A198" si="26">1+A185</f>
        <v>5</v>
      </c>
      <c r="B186" s="83" t="s">
        <v>111</v>
      </c>
      <c r="C186" s="83"/>
      <c r="D186" s="84" t="s">
        <v>464</v>
      </c>
      <c r="E186" s="109">
        <v>1</v>
      </c>
      <c r="F186" s="96" t="s">
        <v>35</v>
      </c>
      <c r="G186" s="81">
        <v>0</v>
      </c>
      <c r="H186" s="3">
        <v>0</v>
      </c>
      <c r="I186" s="5">
        <f t="shared" si="23"/>
        <v>0</v>
      </c>
      <c r="J186" s="5">
        <f t="shared" si="24"/>
        <v>0</v>
      </c>
    </row>
    <row r="187" spans="1:10" s="88" customFormat="1" ht="38.25" x14ac:dyDescent="0.2">
      <c r="A187" s="82">
        <f t="shared" si="26"/>
        <v>6</v>
      </c>
      <c r="B187" s="83" t="s">
        <v>111</v>
      </c>
      <c r="C187" s="83"/>
      <c r="D187" s="84" t="s">
        <v>465</v>
      </c>
      <c r="E187" s="109">
        <v>2</v>
      </c>
      <c r="F187" s="96" t="s">
        <v>35</v>
      </c>
      <c r="G187" s="81">
        <v>0</v>
      </c>
      <c r="H187" s="3">
        <v>0</v>
      </c>
      <c r="I187" s="5">
        <f t="shared" si="23"/>
        <v>0</v>
      </c>
      <c r="J187" s="5">
        <f t="shared" si="24"/>
        <v>0</v>
      </c>
    </row>
    <row r="188" spans="1:10" s="88" customFormat="1" ht="76.5" x14ac:dyDescent="0.2">
      <c r="A188" s="82">
        <f t="shared" si="26"/>
        <v>7</v>
      </c>
      <c r="B188" s="83" t="s">
        <v>111</v>
      </c>
      <c r="C188" s="83"/>
      <c r="D188" s="84" t="s">
        <v>466</v>
      </c>
      <c r="E188" s="109">
        <v>1</v>
      </c>
      <c r="F188" s="96" t="s">
        <v>35</v>
      </c>
      <c r="G188" s="81">
        <v>0</v>
      </c>
      <c r="H188" s="3">
        <v>0</v>
      </c>
      <c r="I188" s="5">
        <f t="shared" si="23"/>
        <v>0</v>
      </c>
      <c r="J188" s="5">
        <f t="shared" si="24"/>
        <v>0</v>
      </c>
    </row>
    <row r="189" spans="1:10" s="88" customFormat="1" ht="38.25" x14ac:dyDescent="0.2">
      <c r="A189" s="82">
        <f t="shared" si="26"/>
        <v>8</v>
      </c>
      <c r="B189" s="83" t="s">
        <v>111</v>
      </c>
      <c r="C189" s="83"/>
      <c r="D189" s="84" t="s">
        <v>467</v>
      </c>
      <c r="E189" s="109">
        <v>1</v>
      </c>
      <c r="F189" s="96" t="s">
        <v>35</v>
      </c>
      <c r="G189" s="81">
        <v>0</v>
      </c>
      <c r="H189" s="3">
        <v>0</v>
      </c>
      <c r="I189" s="5">
        <f t="shared" si="23"/>
        <v>0</v>
      </c>
      <c r="J189" s="5">
        <f t="shared" si="24"/>
        <v>0</v>
      </c>
    </row>
    <row r="190" spans="1:10" s="88" customFormat="1" ht="25.5" x14ac:dyDescent="0.2">
      <c r="A190" s="82">
        <f t="shared" si="26"/>
        <v>9</v>
      </c>
      <c r="B190" s="83" t="s">
        <v>111</v>
      </c>
      <c r="C190" s="83"/>
      <c r="D190" s="84" t="s">
        <v>468</v>
      </c>
      <c r="E190" s="109">
        <v>1</v>
      </c>
      <c r="F190" s="96" t="s">
        <v>377</v>
      </c>
      <c r="G190" s="81">
        <v>0</v>
      </c>
      <c r="H190" s="3">
        <v>0</v>
      </c>
      <c r="I190" s="5">
        <f t="shared" si="23"/>
        <v>0</v>
      </c>
      <c r="J190" s="5">
        <f t="shared" si="24"/>
        <v>0</v>
      </c>
    </row>
    <row r="191" spans="1:10" s="88" customFormat="1" x14ac:dyDescent="0.2">
      <c r="A191" s="82">
        <f t="shared" si="26"/>
        <v>10</v>
      </c>
      <c r="B191" s="83" t="s">
        <v>111</v>
      </c>
      <c r="C191" s="83"/>
      <c r="D191" s="84" t="s">
        <v>469</v>
      </c>
      <c r="E191" s="109">
        <v>1</v>
      </c>
      <c r="F191" s="96" t="s">
        <v>377</v>
      </c>
      <c r="G191" s="81">
        <v>0</v>
      </c>
      <c r="H191" s="3">
        <v>0</v>
      </c>
      <c r="I191" s="5">
        <f t="shared" si="23"/>
        <v>0</v>
      </c>
      <c r="J191" s="5">
        <f t="shared" si="24"/>
        <v>0</v>
      </c>
    </row>
    <row r="192" spans="1:10" s="88" customFormat="1" ht="38.25" x14ac:dyDescent="0.2">
      <c r="A192" s="82">
        <f t="shared" si="26"/>
        <v>11</v>
      </c>
      <c r="B192" s="83" t="s">
        <v>111</v>
      </c>
      <c r="C192" s="83"/>
      <c r="D192" s="91" t="s">
        <v>426</v>
      </c>
      <c r="E192" s="110">
        <v>1</v>
      </c>
      <c r="F192" s="97" t="s">
        <v>35</v>
      </c>
      <c r="G192" s="81">
        <v>0</v>
      </c>
      <c r="H192" s="3">
        <v>0</v>
      </c>
      <c r="I192" s="5">
        <f t="shared" si="23"/>
        <v>0</v>
      </c>
      <c r="J192" s="5">
        <f t="shared" si="24"/>
        <v>0</v>
      </c>
    </row>
    <row r="193" spans="1:10" s="88" customFormat="1" x14ac:dyDescent="0.2">
      <c r="A193" s="82">
        <f t="shared" si="26"/>
        <v>12</v>
      </c>
      <c r="B193" s="83" t="s">
        <v>111</v>
      </c>
      <c r="C193" s="83"/>
      <c r="D193" s="91" t="s">
        <v>470</v>
      </c>
      <c r="E193" s="105">
        <v>8</v>
      </c>
      <c r="F193" s="97" t="s">
        <v>11</v>
      </c>
      <c r="G193" s="81">
        <v>0</v>
      </c>
      <c r="H193" s="3">
        <v>0</v>
      </c>
      <c r="I193" s="5">
        <f t="shared" si="23"/>
        <v>0</v>
      </c>
      <c r="J193" s="5">
        <f t="shared" si="24"/>
        <v>0</v>
      </c>
    </row>
    <row r="194" spans="1:10" s="88" customFormat="1" ht="38.25" x14ac:dyDescent="0.2">
      <c r="A194" s="82">
        <f t="shared" si="26"/>
        <v>13</v>
      </c>
      <c r="B194" s="83" t="s">
        <v>111</v>
      </c>
      <c r="C194" s="83"/>
      <c r="D194" s="84" t="s">
        <v>471</v>
      </c>
      <c r="E194" s="109">
        <v>1</v>
      </c>
      <c r="F194" s="96" t="s">
        <v>454</v>
      </c>
      <c r="G194" s="81">
        <v>0</v>
      </c>
      <c r="H194" s="3">
        <v>0</v>
      </c>
      <c r="I194" s="5">
        <f t="shared" si="23"/>
        <v>0</v>
      </c>
      <c r="J194" s="5">
        <f t="shared" si="24"/>
        <v>0</v>
      </c>
    </row>
    <row r="195" spans="1:10" s="88" customFormat="1" ht="25.5" x14ac:dyDescent="0.2">
      <c r="A195" s="82">
        <f t="shared" si="26"/>
        <v>14</v>
      </c>
      <c r="B195" s="83" t="s">
        <v>111</v>
      </c>
      <c r="C195" s="83"/>
      <c r="D195" s="84" t="s">
        <v>472</v>
      </c>
      <c r="E195" s="109">
        <v>1</v>
      </c>
      <c r="F195" s="96" t="s">
        <v>454</v>
      </c>
      <c r="G195" s="81">
        <v>0</v>
      </c>
      <c r="H195" s="3">
        <v>0</v>
      </c>
      <c r="I195" s="5">
        <f t="shared" si="23"/>
        <v>0</v>
      </c>
      <c r="J195" s="5">
        <f t="shared" si="24"/>
        <v>0</v>
      </c>
    </row>
    <row r="196" spans="1:10" s="88" customFormat="1" ht="38.25" x14ac:dyDescent="0.2">
      <c r="A196" s="82">
        <f t="shared" si="26"/>
        <v>15</v>
      </c>
      <c r="B196" s="83" t="s">
        <v>111</v>
      </c>
      <c r="C196" s="83"/>
      <c r="D196" s="115" t="s">
        <v>447</v>
      </c>
      <c r="E196" s="109">
        <v>1</v>
      </c>
      <c r="F196" s="96" t="s">
        <v>377</v>
      </c>
      <c r="G196" s="81">
        <v>0</v>
      </c>
      <c r="H196" s="3">
        <v>0</v>
      </c>
      <c r="I196" s="5">
        <f t="shared" si="23"/>
        <v>0</v>
      </c>
      <c r="J196" s="5">
        <f t="shared" si="24"/>
        <v>0</v>
      </c>
    </row>
    <row r="197" spans="1:10" s="88" customFormat="1" ht="25.5" x14ac:dyDescent="0.2">
      <c r="A197" s="82">
        <f t="shared" si="26"/>
        <v>16</v>
      </c>
      <c r="B197" s="83" t="s">
        <v>111</v>
      </c>
      <c r="C197" s="83"/>
      <c r="D197" s="84" t="s">
        <v>473</v>
      </c>
      <c r="E197" s="109">
        <v>1</v>
      </c>
      <c r="F197" s="96" t="s">
        <v>35</v>
      </c>
      <c r="G197" s="81">
        <v>0</v>
      </c>
      <c r="H197" s="3">
        <v>0</v>
      </c>
      <c r="I197" s="5">
        <f t="shared" si="23"/>
        <v>0</v>
      </c>
      <c r="J197" s="5">
        <f t="shared" si="24"/>
        <v>0</v>
      </c>
    </row>
    <row r="198" spans="1:10" s="88" customFormat="1" x14ac:dyDescent="0.2">
      <c r="A198" s="82">
        <f t="shared" si="26"/>
        <v>17</v>
      </c>
      <c r="B198" s="83" t="s">
        <v>111</v>
      </c>
      <c r="C198" s="83"/>
      <c r="D198" s="84" t="s">
        <v>474</v>
      </c>
      <c r="E198" s="109">
        <v>1</v>
      </c>
      <c r="F198" s="96" t="s">
        <v>35</v>
      </c>
      <c r="G198" s="81">
        <v>0</v>
      </c>
      <c r="H198" s="3">
        <v>0</v>
      </c>
      <c r="I198" s="5">
        <f t="shared" si="23"/>
        <v>0</v>
      </c>
      <c r="J198" s="5">
        <f t="shared" si="24"/>
        <v>0</v>
      </c>
    </row>
    <row r="199" spans="1:10" s="88" customFormat="1" ht="63.75" x14ac:dyDescent="0.2">
      <c r="A199" s="82">
        <f>1+A198</f>
        <v>18</v>
      </c>
      <c r="B199" s="83" t="s">
        <v>22</v>
      </c>
      <c r="C199" s="83" t="s">
        <v>502</v>
      </c>
      <c r="D199" s="84" t="s">
        <v>504</v>
      </c>
      <c r="E199" s="109">
        <v>1</v>
      </c>
      <c r="F199" s="96" t="s">
        <v>35</v>
      </c>
      <c r="G199" s="81">
        <v>0</v>
      </c>
      <c r="H199" s="3">
        <v>0</v>
      </c>
      <c r="I199" s="5">
        <f t="shared" si="23"/>
        <v>0</v>
      </c>
      <c r="J199" s="5">
        <f t="shared" si="24"/>
        <v>0</v>
      </c>
    </row>
    <row r="200" spans="1:10" s="88" customFormat="1" ht="63.75" x14ac:dyDescent="0.2">
      <c r="A200" s="82">
        <f>1+A199</f>
        <v>19</v>
      </c>
      <c r="B200" s="83" t="s">
        <v>22</v>
      </c>
      <c r="C200" s="83" t="s">
        <v>503</v>
      </c>
      <c r="D200" s="84" t="s">
        <v>505</v>
      </c>
      <c r="E200" s="109">
        <v>1</v>
      </c>
      <c r="F200" s="96" t="s">
        <v>35</v>
      </c>
      <c r="G200" s="81">
        <v>0</v>
      </c>
      <c r="H200" s="3">
        <v>0</v>
      </c>
      <c r="I200" s="5">
        <f t="shared" si="23"/>
        <v>0</v>
      </c>
      <c r="J200" s="5">
        <f t="shared" si="24"/>
        <v>0</v>
      </c>
    </row>
    <row r="201" spans="1:10" s="88" customFormat="1" ht="51" x14ac:dyDescent="0.2">
      <c r="A201" s="82">
        <f t="shared" ref="A201:A202" si="27">1+A200</f>
        <v>20</v>
      </c>
      <c r="B201" s="83" t="s">
        <v>22</v>
      </c>
      <c r="C201" s="83" t="s">
        <v>519</v>
      </c>
      <c r="D201" s="84" t="s">
        <v>517</v>
      </c>
      <c r="E201" s="109">
        <v>2</v>
      </c>
      <c r="F201" s="96" t="s">
        <v>35</v>
      </c>
      <c r="G201" s="81">
        <v>0</v>
      </c>
      <c r="H201" s="3">
        <v>0</v>
      </c>
      <c r="I201" s="5">
        <f t="shared" si="23"/>
        <v>0</v>
      </c>
      <c r="J201" s="5">
        <f t="shared" si="24"/>
        <v>0</v>
      </c>
    </row>
    <row r="202" spans="1:10" s="88" customFormat="1" ht="63.75" x14ac:dyDescent="0.2">
      <c r="A202" s="82">
        <f t="shared" si="27"/>
        <v>21</v>
      </c>
      <c r="B202" s="83" t="s">
        <v>22</v>
      </c>
      <c r="C202" s="83" t="s">
        <v>513</v>
      </c>
      <c r="D202" s="84" t="s">
        <v>518</v>
      </c>
      <c r="E202" s="109">
        <v>1</v>
      </c>
      <c r="F202" s="96" t="s">
        <v>35</v>
      </c>
      <c r="G202" s="81">
        <v>0</v>
      </c>
      <c r="H202" s="3">
        <v>0</v>
      </c>
      <c r="I202" s="5">
        <f t="shared" si="23"/>
        <v>0</v>
      </c>
      <c r="J202" s="5">
        <f t="shared" si="24"/>
        <v>0</v>
      </c>
    </row>
    <row r="203" spans="1:10" s="88" customFormat="1" ht="63.75" x14ac:dyDescent="0.2">
      <c r="A203" s="82">
        <f>1+A202</f>
        <v>22</v>
      </c>
      <c r="B203" s="83" t="s">
        <v>22</v>
      </c>
      <c r="C203" s="83" t="s">
        <v>507</v>
      </c>
      <c r="D203" s="84" t="s">
        <v>506</v>
      </c>
      <c r="E203" s="109">
        <v>1</v>
      </c>
      <c r="F203" s="96" t="s">
        <v>35</v>
      </c>
      <c r="G203" s="81">
        <v>0</v>
      </c>
      <c r="H203" s="3">
        <v>0</v>
      </c>
      <c r="I203" s="5">
        <f t="shared" si="23"/>
        <v>0</v>
      </c>
      <c r="J203" s="5">
        <f t="shared" si="24"/>
        <v>0</v>
      </c>
    </row>
    <row r="204" spans="1:10" s="88" customFormat="1" ht="102" x14ac:dyDescent="0.2">
      <c r="A204" s="82">
        <f t="shared" ref="A204:A205" si="28">1+A203</f>
        <v>23</v>
      </c>
      <c r="B204" s="83" t="s">
        <v>22</v>
      </c>
      <c r="C204" s="83" t="s">
        <v>520</v>
      </c>
      <c r="D204" s="84" t="s">
        <v>521</v>
      </c>
      <c r="E204" s="109">
        <v>1</v>
      </c>
      <c r="F204" s="96" t="s">
        <v>35</v>
      </c>
      <c r="G204" s="81">
        <v>0</v>
      </c>
      <c r="H204" s="3">
        <v>0</v>
      </c>
      <c r="I204" s="5">
        <f t="shared" si="23"/>
        <v>0</v>
      </c>
      <c r="J204" s="5">
        <f t="shared" si="24"/>
        <v>0</v>
      </c>
    </row>
    <row r="205" spans="1:10" s="88" customFormat="1" ht="51" x14ac:dyDescent="0.2">
      <c r="A205" s="82">
        <f t="shared" si="28"/>
        <v>24</v>
      </c>
      <c r="B205" s="83" t="s">
        <v>22</v>
      </c>
      <c r="C205" s="83" t="s">
        <v>508</v>
      </c>
      <c r="D205" s="84" t="s">
        <v>514</v>
      </c>
      <c r="E205" s="109">
        <v>1</v>
      </c>
      <c r="F205" s="96" t="s">
        <v>35</v>
      </c>
      <c r="G205" s="81">
        <v>0</v>
      </c>
      <c r="H205" s="3">
        <v>0</v>
      </c>
      <c r="I205" s="5">
        <f t="shared" si="23"/>
        <v>0</v>
      </c>
      <c r="J205" s="5">
        <f t="shared" si="24"/>
        <v>0</v>
      </c>
    </row>
    <row r="206" spans="1:10" s="88" customFormat="1" ht="76.5" x14ac:dyDescent="0.2">
      <c r="A206" s="82">
        <f t="shared" ref="A206:A208" si="29">1+A205</f>
        <v>25</v>
      </c>
      <c r="B206" s="83" t="s">
        <v>22</v>
      </c>
      <c r="C206" s="83" t="s">
        <v>511</v>
      </c>
      <c r="D206" s="84" t="s">
        <v>516</v>
      </c>
      <c r="E206" s="109">
        <v>1</v>
      </c>
      <c r="F206" s="96" t="s">
        <v>35</v>
      </c>
      <c r="G206" s="81">
        <v>0</v>
      </c>
      <c r="H206" s="3">
        <v>0</v>
      </c>
      <c r="I206" s="5">
        <f t="shared" si="23"/>
        <v>0</v>
      </c>
      <c r="J206" s="5">
        <f t="shared" si="24"/>
        <v>0</v>
      </c>
    </row>
    <row r="207" spans="1:10" s="88" customFormat="1" ht="51" x14ac:dyDescent="0.2">
      <c r="A207" s="82">
        <f t="shared" si="29"/>
        <v>26</v>
      </c>
      <c r="B207" s="83" t="s">
        <v>22</v>
      </c>
      <c r="C207" s="83" t="s">
        <v>509</v>
      </c>
      <c r="D207" s="84" t="s">
        <v>515</v>
      </c>
      <c r="E207" s="109">
        <v>1</v>
      </c>
      <c r="F207" s="96" t="s">
        <v>35</v>
      </c>
      <c r="G207" s="81">
        <v>0</v>
      </c>
      <c r="H207" s="3">
        <v>0</v>
      </c>
      <c r="I207" s="5">
        <f t="shared" si="23"/>
        <v>0</v>
      </c>
      <c r="J207" s="5">
        <f t="shared" si="24"/>
        <v>0</v>
      </c>
    </row>
    <row r="208" spans="1:10" s="88" customFormat="1" ht="63.75" x14ac:dyDescent="0.2">
      <c r="A208" s="82">
        <f t="shared" si="29"/>
        <v>27</v>
      </c>
      <c r="B208" s="83" t="s">
        <v>22</v>
      </c>
      <c r="C208" s="83" t="s">
        <v>510</v>
      </c>
      <c r="D208" s="84" t="s">
        <v>512</v>
      </c>
      <c r="E208" s="109">
        <v>1</v>
      </c>
      <c r="F208" s="96" t="s">
        <v>35</v>
      </c>
      <c r="G208" s="81">
        <v>0</v>
      </c>
      <c r="H208" s="3">
        <v>0</v>
      </c>
      <c r="I208" s="5">
        <f t="shared" si="23"/>
        <v>0</v>
      </c>
      <c r="J208" s="5">
        <f t="shared" si="24"/>
        <v>0</v>
      </c>
    </row>
    <row r="209" spans="1:10" s="88" customFormat="1" x14ac:dyDescent="0.2">
      <c r="A209" s="82"/>
      <c r="B209" s="83"/>
      <c r="C209" s="83"/>
      <c r="D209" s="83"/>
      <c r="G209" s="86"/>
      <c r="H209" s="86"/>
      <c r="I209" s="87"/>
      <c r="J209" s="87"/>
    </row>
    <row r="210" spans="1:10" ht="12.75" customHeight="1" x14ac:dyDescent="0.2">
      <c r="A210" s="132" t="s">
        <v>453</v>
      </c>
      <c r="B210" s="132"/>
      <c r="C210" s="132"/>
      <c r="D210" s="132"/>
      <c r="E210" s="8"/>
      <c r="F210" s="8"/>
      <c r="G210" s="9"/>
      <c r="H210" s="9"/>
      <c r="I210" s="10">
        <f>SUM(I182:I209)</f>
        <v>0</v>
      </c>
      <c r="J210" s="10">
        <f>SUM(J182:J209)</f>
        <v>0</v>
      </c>
    </row>
    <row r="211" spans="1:10" s="88" customFormat="1" x14ac:dyDescent="0.2">
      <c r="A211" s="82"/>
      <c r="B211" s="83"/>
      <c r="C211" s="83"/>
      <c r="D211" s="83"/>
      <c r="G211" s="86"/>
      <c r="H211" s="86"/>
      <c r="I211" s="87"/>
      <c r="J211" s="87"/>
    </row>
    <row r="212" spans="1:10" s="88" customFormat="1" x14ac:dyDescent="0.2">
      <c r="A212" s="82"/>
      <c r="B212" s="83"/>
      <c r="C212" s="83"/>
      <c r="D212" s="83"/>
      <c r="G212" s="86"/>
      <c r="H212" s="86"/>
      <c r="I212" s="87"/>
      <c r="J212" s="87"/>
    </row>
    <row r="213" spans="1:10" s="88" customFormat="1" x14ac:dyDescent="0.2">
      <c r="A213" s="82"/>
      <c r="B213" s="83"/>
      <c r="C213" s="83"/>
      <c r="D213" s="83"/>
      <c r="G213" s="86"/>
      <c r="H213" s="86"/>
      <c r="I213" s="87"/>
      <c r="J213" s="87"/>
    </row>
    <row r="214" spans="1:10" s="88" customFormat="1" x14ac:dyDescent="0.2">
      <c r="A214" s="82"/>
      <c r="B214" s="83"/>
      <c r="C214" s="83"/>
      <c r="D214" s="83"/>
      <c r="G214" s="86"/>
      <c r="H214" s="86"/>
      <c r="I214" s="87"/>
      <c r="J214" s="87"/>
    </row>
    <row r="215" spans="1:10" s="88" customFormat="1" x14ac:dyDescent="0.2">
      <c r="A215" s="82"/>
      <c r="B215" s="83"/>
      <c r="C215" s="83"/>
      <c r="D215" s="83"/>
      <c r="G215" s="86"/>
      <c r="H215" s="86"/>
      <c r="I215" s="87"/>
      <c r="J215" s="87"/>
    </row>
    <row r="216" spans="1:10" s="88" customFormat="1" x14ac:dyDescent="0.2">
      <c r="A216" s="82"/>
      <c r="B216" s="83"/>
      <c r="C216" s="83"/>
      <c r="D216" s="83"/>
      <c r="G216" s="86"/>
      <c r="H216" s="86"/>
      <c r="I216" s="87"/>
      <c r="J216" s="87"/>
    </row>
    <row r="217" spans="1:10" s="88" customFormat="1" x14ac:dyDescent="0.2">
      <c r="A217" s="82"/>
      <c r="B217" s="83"/>
      <c r="C217" s="83"/>
      <c r="D217" s="83"/>
      <c r="G217" s="86"/>
      <c r="H217" s="86"/>
      <c r="I217" s="87"/>
      <c r="J217" s="87"/>
    </row>
    <row r="218" spans="1:10" s="88" customFormat="1" x14ac:dyDescent="0.2">
      <c r="A218" s="82"/>
      <c r="B218" s="83"/>
      <c r="C218" s="83"/>
      <c r="D218" s="83"/>
      <c r="G218" s="86"/>
      <c r="H218" s="86"/>
      <c r="I218" s="87"/>
      <c r="J218" s="87"/>
    </row>
    <row r="219" spans="1:10" s="88" customFormat="1" x14ac:dyDescent="0.2">
      <c r="A219" s="82"/>
      <c r="B219" s="83"/>
      <c r="C219" s="83"/>
      <c r="D219" s="83"/>
      <c r="G219" s="86"/>
      <c r="H219" s="86"/>
      <c r="I219" s="87"/>
      <c r="J219" s="87"/>
    </row>
  </sheetData>
  <sortState ref="A218:N228">
    <sortCondition ref="C218:C228"/>
  </sortState>
  <mergeCells count="17">
    <mergeCell ref="A81:D81"/>
    <mergeCell ref="A35:D35"/>
    <mergeCell ref="A10:D10"/>
    <mergeCell ref="A179:D179"/>
    <mergeCell ref="A210:D210"/>
    <mergeCell ref="A1:J1"/>
    <mergeCell ref="A2:J2"/>
    <mergeCell ref="A4:J4"/>
    <mergeCell ref="A163:D163"/>
    <mergeCell ref="A169:D169"/>
    <mergeCell ref="A28:D28"/>
    <mergeCell ref="A42:D42"/>
    <mergeCell ref="A60:D60"/>
    <mergeCell ref="A70:D70"/>
    <mergeCell ref="A157:D157"/>
    <mergeCell ref="A129:D129"/>
    <mergeCell ref="A138:D138"/>
  </mergeCells>
  <pageMargins left="0.70866141732283472" right="0.70866141732283472" top="0.74803149606299213" bottom="0.74803149606299213" header="0.31496062992125984" footer="0.31496062992125984"/>
  <pageSetup paperSize="9" scale="79" fitToHeight="100" orientation="portrait" r:id="rId1"/>
  <headerFooter>
    <oddFooter>&amp;C&amp;P/&amp;N&amp;RAjánlattevő</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1"/>
  <sheetViews>
    <sheetView tabSelected="1" workbookViewId="0">
      <selection activeCell="I12" sqref="I12"/>
    </sheetView>
  </sheetViews>
  <sheetFormatPr defaultRowHeight="12.75" x14ac:dyDescent="0.2"/>
  <cols>
    <col min="1" max="1" width="4.7109375" style="7" customWidth="1"/>
    <col min="2" max="2" width="3.7109375" style="2" customWidth="1"/>
    <col min="3" max="3" width="12.7109375" style="2" customWidth="1"/>
    <col min="4" max="4" width="35.7109375" style="2" customWidth="1"/>
    <col min="5" max="5" width="9.28515625" style="108" bestFit="1" customWidth="1"/>
    <col min="6" max="6" width="9.140625" style="100"/>
    <col min="7" max="8" width="9.85546875" style="3" bestFit="1" customWidth="1"/>
    <col min="9" max="10" width="9.28515625" style="5" bestFit="1" customWidth="1"/>
    <col min="11" max="16384" width="9.140625" style="1"/>
  </cols>
  <sheetData>
    <row r="1" spans="1:11" ht="14.25" x14ac:dyDescent="0.2">
      <c r="A1" s="133" t="str">
        <f>Főösszesítő!A1</f>
        <v>BÉKÉSSÁMSON KÖZSÉG ÖNKORMÁNYZATA</v>
      </c>
      <c r="B1" s="133"/>
      <c r="C1" s="133"/>
      <c r="D1" s="133"/>
      <c r="E1" s="133"/>
      <c r="F1" s="133"/>
      <c r="G1" s="133"/>
      <c r="H1" s="133"/>
      <c r="I1" s="133"/>
      <c r="J1" s="133"/>
    </row>
    <row r="2" spans="1:11" ht="14.25" x14ac:dyDescent="0.2">
      <c r="A2" s="134" t="str">
        <f>Főösszesítő!A2</f>
        <v>5495 BÉKÉSSÁMSON, HŐSÖK TERE 10-12. - PH ENERGETIKAI FELÚJÍTÁSA</v>
      </c>
      <c r="B2" s="134"/>
      <c r="C2" s="134"/>
      <c r="D2" s="134"/>
      <c r="E2" s="134"/>
      <c r="F2" s="134"/>
      <c r="G2" s="134"/>
      <c r="H2" s="134"/>
      <c r="I2" s="134"/>
      <c r="J2" s="134"/>
    </row>
    <row r="3" spans="1:11" ht="15" x14ac:dyDescent="0.25">
      <c r="A3" s="67"/>
      <c r="B3" s="68"/>
      <c r="C3" s="69"/>
      <c r="D3" s="70"/>
      <c r="E3" s="101"/>
      <c r="F3" s="94"/>
      <c r="G3" s="72"/>
      <c r="H3" s="72"/>
      <c r="I3" s="72"/>
      <c r="J3" s="73"/>
    </row>
    <row r="4" spans="1:11" ht="15.75" x14ac:dyDescent="0.25">
      <c r="A4" s="135" t="s">
        <v>450</v>
      </c>
      <c r="B4" s="135"/>
      <c r="C4" s="135"/>
      <c r="D4" s="135"/>
      <c r="E4" s="135"/>
      <c r="F4" s="135"/>
      <c r="G4" s="135"/>
      <c r="H4" s="135"/>
      <c r="I4" s="135"/>
      <c r="J4" s="135"/>
    </row>
    <row r="5" spans="1:11" ht="25.5" x14ac:dyDescent="0.2">
      <c r="A5" s="74" t="s">
        <v>389</v>
      </c>
      <c r="B5" s="74"/>
      <c r="C5" s="75" t="s">
        <v>390</v>
      </c>
      <c r="D5" s="75" t="s">
        <v>391</v>
      </c>
      <c r="E5" s="102" t="s">
        <v>392</v>
      </c>
      <c r="F5" s="74" t="s">
        <v>393</v>
      </c>
      <c r="G5" s="77" t="s">
        <v>394</v>
      </c>
      <c r="H5" s="77" t="s">
        <v>395</v>
      </c>
      <c r="I5" s="78" t="s">
        <v>396</v>
      </c>
      <c r="J5" s="78" t="s">
        <v>397</v>
      </c>
    </row>
    <row r="6" spans="1:11" x14ac:dyDescent="0.2">
      <c r="A6" s="79"/>
      <c r="B6" s="79"/>
      <c r="C6" s="79"/>
      <c r="D6" s="79"/>
      <c r="E6" s="103"/>
      <c r="F6" s="95"/>
      <c r="G6" s="81"/>
      <c r="H6" s="81"/>
      <c r="I6" s="73"/>
      <c r="J6" s="73"/>
    </row>
    <row r="7" spans="1:11" ht="25.5" x14ac:dyDescent="0.2">
      <c r="A7" s="82">
        <v>1</v>
      </c>
      <c r="B7" s="83"/>
      <c r="C7" s="83"/>
      <c r="D7" s="84" t="s">
        <v>405</v>
      </c>
      <c r="E7" s="109">
        <v>1</v>
      </c>
      <c r="F7" s="96" t="s">
        <v>377</v>
      </c>
      <c r="G7" s="85">
        <v>0</v>
      </c>
      <c r="H7" s="85">
        <v>0</v>
      </c>
      <c r="I7" s="87">
        <f>E7*G7</f>
        <v>0</v>
      </c>
      <c r="J7" s="87">
        <f>E7*H7</f>
        <v>0</v>
      </c>
      <c r="K7" s="88"/>
    </row>
    <row r="8" spans="1:11" ht="38.25" x14ac:dyDescent="0.2">
      <c r="A8" s="82">
        <f>1+A41</f>
        <v>14</v>
      </c>
      <c r="B8" s="83"/>
      <c r="C8" s="83"/>
      <c r="D8" s="91" t="s">
        <v>426</v>
      </c>
      <c r="E8" s="110">
        <v>28</v>
      </c>
      <c r="F8" s="97" t="s">
        <v>35</v>
      </c>
      <c r="G8" s="85">
        <v>0</v>
      </c>
      <c r="H8" s="85">
        <v>0</v>
      </c>
      <c r="I8" s="87">
        <f>E8*G8</f>
        <v>0</v>
      </c>
      <c r="J8" s="87">
        <f>E8*H8</f>
        <v>0</v>
      </c>
      <c r="K8" s="88"/>
    </row>
    <row r="9" spans="1:11" x14ac:dyDescent="0.2">
      <c r="A9" s="82"/>
      <c r="B9" s="83"/>
      <c r="C9" s="83"/>
      <c r="D9" s="84"/>
      <c r="E9" s="104"/>
      <c r="F9" s="96"/>
      <c r="G9" s="85"/>
      <c r="H9" s="85"/>
      <c r="I9" s="87"/>
      <c r="J9" s="87"/>
      <c r="K9" s="88"/>
    </row>
    <row r="10" spans="1:11" x14ac:dyDescent="0.2">
      <c r="A10" s="132" t="s">
        <v>158</v>
      </c>
      <c r="B10" s="132"/>
      <c r="C10" s="132"/>
      <c r="D10" s="132"/>
      <c r="E10" s="106"/>
      <c r="F10" s="98"/>
      <c r="G10" s="9"/>
      <c r="H10" s="9"/>
      <c r="I10" s="10">
        <f>SUM(I7:I9)</f>
        <v>0</v>
      </c>
      <c r="J10" s="10">
        <f>SUM(J7:J9)</f>
        <v>0</v>
      </c>
    </row>
    <row r="11" spans="1:11" x14ac:dyDescent="0.2">
      <c r="A11" s="82"/>
      <c r="B11" s="83"/>
      <c r="C11" s="83"/>
      <c r="D11" s="84"/>
      <c r="E11" s="104"/>
      <c r="F11" s="96"/>
      <c r="G11" s="85"/>
      <c r="H11" s="85"/>
      <c r="I11" s="87"/>
      <c r="J11" s="87"/>
      <c r="K11" s="88"/>
    </row>
    <row r="12" spans="1:11" x14ac:dyDescent="0.2">
      <c r="A12" s="82"/>
      <c r="B12" s="83"/>
      <c r="C12" s="83"/>
      <c r="D12" s="84"/>
      <c r="E12" s="104"/>
      <c r="F12" s="96"/>
      <c r="G12" s="85"/>
      <c r="H12" s="85"/>
      <c r="I12" s="87"/>
      <c r="J12" s="87"/>
      <c r="K12" s="88"/>
    </row>
    <row r="13" spans="1:11" ht="76.5" x14ac:dyDescent="0.2">
      <c r="A13" s="82">
        <v>1</v>
      </c>
      <c r="B13" s="83"/>
      <c r="C13" s="83"/>
      <c r="D13" s="90" t="s">
        <v>412</v>
      </c>
      <c r="E13" s="105">
        <v>17</v>
      </c>
      <c r="F13" s="97" t="s">
        <v>11</v>
      </c>
      <c r="G13" s="85">
        <v>0</v>
      </c>
      <c r="H13" s="85">
        <v>0</v>
      </c>
      <c r="I13" s="87">
        <f>E13*G13</f>
        <v>0</v>
      </c>
      <c r="J13" s="87">
        <f>E13*H13</f>
        <v>0</v>
      </c>
      <c r="K13" s="88"/>
    </row>
    <row r="14" spans="1:11" x14ac:dyDescent="0.2">
      <c r="A14" s="82">
        <f>1+A13</f>
        <v>2</v>
      </c>
      <c r="B14" s="83"/>
      <c r="C14" s="83"/>
      <c r="D14" s="90" t="s">
        <v>413</v>
      </c>
      <c r="E14" s="105">
        <v>12.5</v>
      </c>
      <c r="F14" s="97" t="s">
        <v>11</v>
      </c>
      <c r="G14" s="85">
        <v>0</v>
      </c>
      <c r="H14" s="85">
        <v>0</v>
      </c>
      <c r="I14" s="87">
        <f>E14*G14</f>
        <v>0</v>
      </c>
      <c r="J14" s="87">
        <f>E14*H14</f>
        <v>0</v>
      </c>
      <c r="K14" s="88"/>
    </row>
    <row r="15" spans="1:11" x14ac:dyDescent="0.2">
      <c r="A15" s="82"/>
      <c r="B15" s="83"/>
      <c r="C15" s="83"/>
      <c r="D15" s="90"/>
      <c r="E15" s="105"/>
      <c r="F15" s="97"/>
      <c r="G15" s="85"/>
      <c r="H15" s="85"/>
      <c r="I15" s="87"/>
      <c r="J15" s="87"/>
      <c r="K15" s="88"/>
    </row>
    <row r="16" spans="1:11" x14ac:dyDescent="0.2">
      <c r="A16" s="132" t="s">
        <v>451</v>
      </c>
      <c r="B16" s="132"/>
      <c r="C16" s="132"/>
      <c r="D16" s="132"/>
      <c r="E16" s="106"/>
      <c r="F16" s="98"/>
      <c r="G16" s="9"/>
      <c r="H16" s="9"/>
      <c r="I16" s="10">
        <f>SUM(I13:I15)</f>
        <v>0</v>
      </c>
      <c r="J16" s="10">
        <f>SUM(J13:J15)</f>
        <v>0</v>
      </c>
    </row>
    <row r="17" spans="1:11" x14ac:dyDescent="0.2">
      <c r="A17" s="82"/>
      <c r="B17" s="83"/>
      <c r="C17" s="83"/>
      <c r="D17" s="90"/>
      <c r="E17" s="105"/>
      <c r="F17" s="97"/>
      <c r="G17" s="85"/>
      <c r="H17" s="85"/>
      <c r="I17" s="87"/>
      <c r="J17" s="87"/>
      <c r="K17" s="88"/>
    </row>
    <row r="18" spans="1:11" x14ac:dyDescent="0.2">
      <c r="A18" s="82"/>
      <c r="B18" s="83"/>
      <c r="C18" s="83"/>
      <c r="D18" s="90"/>
      <c r="E18" s="105"/>
      <c r="F18" s="97"/>
      <c r="G18" s="85"/>
      <c r="H18" s="85"/>
      <c r="I18" s="87"/>
      <c r="J18" s="87"/>
      <c r="K18" s="88"/>
    </row>
    <row r="19" spans="1:11" ht="102" x14ac:dyDescent="0.2">
      <c r="A19" s="82">
        <v>1</v>
      </c>
      <c r="B19" s="82"/>
      <c r="C19" s="82"/>
      <c r="D19" s="89" t="s">
        <v>406</v>
      </c>
      <c r="E19" s="105">
        <v>245</v>
      </c>
      <c r="F19" s="97" t="s">
        <v>11</v>
      </c>
      <c r="G19" s="85">
        <v>0</v>
      </c>
      <c r="H19" s="85">
        <v>0</v>
      </c>
      <c r="I19" s="87">
        <f t="shared" ref="I19:I24" si="0">E19*G19</f>
        <v>0</v>
      </c>
      <c r="J19" s="87">
        <f t="shared" ref="J19:J24" si="1">E19*H19</f>
        <v>0</v>
      </c>
      <c r="K19" s="88"/>
    </row>
    <row r="20" spans="1:11" x14ac:dyDescent="0.2">
      <c r="A20" s="82">
        <f>1+A19</f>
        <v>2</v>
      </c>
      <c r="B20" s="83"/>
      <c r="C20" s="83"/>
      <c r="D20" s="89" t="s">
        <v>407</v>
      </c>
      <c r="E20" s="105">
        <v>73</v>
      </c>
      <c r="F20" s="97" t="s">
        <v>11</v>
      </c>
      <c r="G20" s="85">
        <v>0</v>
      </c>
      <c r="H20" s="85">
        <v>0</v>
      </c>
      <c r="I20" s="87">
        <f t="shared" si="0"/>
        <v>0</v>
      </c>
      <c r="J20" s="87">
        <f t="shared" si="1"/>
        <v>0</v>
      </c>
      <c r="K20" s="88"/>
    </row>
    <row r="21" spans="1:11" x14ac:dyDescent="0.2">
      <c r="A21" s="82">
        <f t="shared" ref="A21:A63" si="2">1+A20</f>
        <v>3</v>
      </c>
      <c r="B21" s="83"/>
      <c r="C21" s="83"/>
      <c r="D21" s="89" t="s">
        <v>408</v>
      </c>
      <c r="E21" s="105">
        <v>78</v>
      </c>
      <c r="F21" s="97" t="s">
        <v>11</v>
      </c>
      <c r="G21" s="85">
        <v>0</v>
      </c>
      <c r="H21" s="85">
        <v>0</v>
      </c>
      <c r="I21" s="87">
        <f t="shared" si="0"/>
        <v>0</v>
      </c>
      <c r="J21" s="87">
        <f t="shared" si="1"/>
        <v>0</v>
      </c>
      <c r="K21" s="88"/>
    </row>
    <row r="22" spans="1:11" x14ac:dyDescent="0.2">
      <c r="A22" s="82">
        <f t="shared" si="2"/>
        <v>4</v>
      </c>
      <c r="B22" s="83"/>
      <c r="C22" s="83"/>
      <c r="D22" s="89" t="s">
        <v>409</v>
      </c>
      <c r="E22" s="105">
        <v>44</v>
      </c>
      <c r="F22" s="97" t="s">
        <v>11</v>
      </c>
      <c r="G22" s="85">
        <v>0</v>
      </c>
      <c r="H22" s="85">
        <v>0</v>
      </c>
      <c r="I22" s="87">
        <f t="shared" si="0"/>
        <v>0</v>
      </c>
      <c r="J22" s="87">
        <f t="shared" si="1"/>
        <v>0</v>
      </c>
      <c r="K22" s="88"/>
    </row>
    <row r="23" spans="1:11" x14ac:dyDescent="0.2">
      <c r="A23" s="82">
        <f t="shared" si="2"/>
        <v>5</v>
      </c>
      <c r="B23" s="83"/>
      <c r="C23" s="83"/>
      <c r="D23" s="89" t="s">
        <v>410</v>
      </c>
      <c r="E23" s="105">
        <v>17</v>
      </c>
      <c r="F23" s="97" t="s">
        <v>11</v>
      </c>
      <c r="G23" s="85">
        <v>0</v>
      </c>
      <c r="H23" s="85">
        <v>0</v>
      </c>
      <c r="I23" s="87">
        <f t="shared" si="0"/>
        <v>0</v>
      </c>
      <c r="J23" s="87">
        <f t="shared" si="1"/>
        <v>0</v>
      </c>
      <c r="K23" s="88"/>
    </row>
    <row r="24" spans="1:11" x14ac:dyDescent="0.2">
      <c r="A24" s="82">
        <f t="shared" si="2"/>
        <v>6</v>
      </c>
      <c r="B24" s="83"/>
      <c r="C24" s="83"/>
      <c r="D24" s="89" t="s">
        <v>411</v>
      </c>
      <c r="E24" s="105">
        <v>12.5</v>
      </c>
      <c r="F24" s="97" t="s">
        <v>11</v>
      </c>
      <c r="G24" s="85">
        <v>0</v>
      </c>
      <c r="H24" s="85">
        <v>0</v>
      </c>
      <c r="I24" s="87">
        <f t="shared" si="0"/>
        <v>0</v>
      </c>
      <c r="J24" s="87">
        <f t="shared" si="1"/>
        <v>0</v>
      </c>
      <c r="K24" s="88"/>
    </row>
    <row r="25" spans="1:11" x14ac:dyDescent="0.2">
      <c r="A25" s="82"/>
      <c r="B25" s="83"/>
      <c r="C25" s="83"/>
      <c r="D25" s="89"/>
      <c r="E25" s="105"/>
      <c r="F25" s="97"/>
      <c r="G25" s="85"/>
      <c r="H25" s="85"/>
      <c r="I25" s="87"/>
      <c r="J25" s="87"/>
      <c r="K25" s="88"/>
    </row>
    <row r="26" spans="1:11" x14ac:dyDescent="0.2">
      <c r="A26" s="132" t="s">
        <v>452</v>
      </c>
      <c r="B26" s="132"/>
      <c r="C26" s="132"/>
      <c r="D26" s="132"/>
      <c r="E26" s="106"/>
      <c r="F26" s="98"/>
      <c r="G26" s="9"/>
      <c r="H26" s="9"/>
      <c r="I26" s="10">
        <f>SUM(I19:I25)</f>
        <v>0</v>
      </c>
      <c r="J26" s="10">
        <f>SUM(J19:J25)</f>
        <v>0</v>
      </c>
    </row>
    <row r="27" spans="1:11" x14ac:dyDescent="0.2">
      <c r="A27" s="82"/>
      <c r="B27" s="83"/>
      <c r="C27" s="83"/>
      <c r="D27" s="89"/>
      <c r="E27" s="105"/>
      <c r="F27" s="97"/>
      <c r="G27" s="85"/>
      <c r="H27" s="85"/>
      <c r="I27" s="87"/>
      <c r="J27" s="87"/>
      <c r="K27" s="88"/>
    </row>
    <row r="28" spans="1:11" x14ac:dyDescent="0.2">
      <c r="A28" s="82"/>
      <c r="B28" s="83"/>
      <c r="C28" s="83"/>
      <c r="D28" s="89"/>
      <c r="E28" s="105"/>
      <c r="F28" s="97"/>
      <c r="G28" s="85"/>
      <c r="H28" s="85"/>
      <c r="I28" s="87"/>
      <c r="J28" s="87"/>
      <c r="K28" s="88"/>
    </row>
    <row r="29" spans="1:11" ht="63.75" x14ac:dyDescent="0.2">
      <c r="A29" s="82">
        <v>1</v>
      </c>
      <c r="B29" s="83"/>
      <c r="C29" s="83"/>
      <c r="D29" s="91" t="s">
        <v>432</v>
      </c>
      <c r="E29" s="110">
        <v>1</v>
      </c>
      <c r="F29" s="97" t="s">
        <v>35</v>
      </c>
      <c r="G29" s="85">
        <v>0</v>
      </c>
      <c r="H29" s="85">
        <v>0</v>
      </c>
      <c r="I29" s="87">
        <f t="shared" ref="I29:I63" si="3">E29*G29</f>
        <v>0</v>
      </c>
      <c r="J29" s="87">
        <f t="shared" ref="J29:J63" si="4">E29*H29</f>
        <v>0</v>
      </c>
      <c r="K29" s="88"/>
    </row>
    <row r="30" spans="1:11" x14ac:dyDescent="0.2">
      <c r="A30" s="82">
        <f t="shared" ref="A30:A42" si="5">1+A29</f>
        <v>2</v>
      </c>
      <c r="B30" s="83"/>
      <c r="C30" s="83"/>
      <c r="D30" s="91" t="s">
        <v>433</v>
      </c>
      <c r="E30" s="110">
        <v>1</v>
      </c>
      <c r="F30" s="97" t="s">
        <v>35</v>
      </c>
      <c r="G30" s="85">
        <v>0</v>
      </c>
      <c r="H30" s="85">
        <v>0</v>
      </c>
      <c r="I30" s="87">
        <f t="shared" si="3"/>
        <v>0</v>
      </c>
      <c r="J30" s="87">
        <f t="shared" si="4"/>
        <v>0</v>
      </c>
      <c r="K30" s="88"/>
    </row>
    <row r="31" spans="1:11" x14ac:dyDescent="0.2">
      <c r="A31" s="82">
        <f t="shared" si="5"/>
        <v>3</v>
      </c>
      <c r="B31" s="83"/>
      <c r="C31" s="83"/>
      <c r="D31" s="91" t="s">
        <v>434</v>
      </c>
      <c r="E31" s="110">
        <v>1</v>
      </c>
      <c r="F31" s="97" t="s">
        <v>35</v>
      </c>
      <c r="G31" s="85">
        <v>0</v>
      </c>
      <c r="H31" s="85">
        <v>0</v>
      </c>
      <c r="I31" s="87">
        <f t="shared" si="3"/>
        <v>0</v>
      </c>
      <c r="J31" s="87">
        <f t="shared" si="4"/>
        <v>0</v>
      </c>
      <c r="K31" s="88"/>
    </row>
    <row r="32" spans="1:11" ht="76.5" x14ac:dyDescent="0.2">
      <c r="A32" s="82">
        <f t="shared" si="5"/>
        <v>4</v>
      </c>
      <c r="B32" s="83"/>
      <c r="C32" s="83"/>
      <c r="D32" s="91" t="s">
        <v>435</v>
      </c>
      <c r="E32" s="110">
        <v>1</v>
      </c>
      <c r="F32" s="97" t="s">
        <v>35</v>
      </c>
      <c r="G32" s="85">
        <v>0</v>
      </c>
      <c r="H32" s="85">
        <v>0</v>
      </c>
      <c r="I32" s="87">
        <f t="shared" si="3"/>
        <v>0</v>
      </c>
      <c r="J32" s="87">
        <f t="shared" si="4"/>
        <v>0</v>
      </c>
      <c r="K32" s="88"/>
    </row>
    <row r="33" spans="1:11" ht="76.5" x14ac:dyDescent="0.2">
      <c r="A33" s="82">
        <f t="shared" si="5"/>
        <v>5</v>
      </c>
      <c r="B33" s="83"/>
      <c r="C33" s="83"/>
      <c r="D33" s="91" t="s">
        <v>436</v>
      </c>
      <c r="E33" s="110">
        <v>1</v>
      </c>
      <c r="F33" s="97" t="s">
        <v>35</v>
      </c>
      <c r="G33" s="85">
        <v>0</v>
      </c>
      <c r="H33" s="85">
        <v>0</v>
      </c>
      <c r="I33" s="87">
        <f t="shared" si="3"/>
        <v>0</v>
      </c>
      <c r="J33" s="87">
        <f t="shared" si="4"/>
        <v>0</v>
      </c>
      <c r="K33" s="88"/>
    </row>
    <row r="34" spans="1:11" ht="63.75" x14ac:dyDescent="0.2">
      <c r="A34" s="82">
        <f t="shared" si="5"/>
        <v>6</v>
      </c>
      <c r="B34" s="83"/>
      <c r="C34" s="83"/>
      <c r="D34" s="91" t="s">
        <v>438</v>
      </c>
      <c r="E34" s="110">
        <v>3</v>
      </c>
      <c r="F34" s="97" t="s">
        <v>35</v>
      </c>
      <c r="G34" s="85">
        <v>0</v>
      </c>
      <c r="H34" s="85">
        <v>0</v>
      </c>
      <c r="I34" s="87">
        <f t="shared" si="3"/>
        <v>0</v>
      </c>
      <c r="J34" s="87">
        <f t="shared" si="4"/>
        <v>0</v>
      </c>
      <c r="K34" s="88"/>
    </row>
    <row r="35" spans="1:11" x14ac:dyDescent="0.2">
      <c r="A35" s="82">
        <f t="shared" si="5"/>
        <v>7</v>
      </c>
      <c r="B35" s="83"/>
      <c r="C35" s="83"/>
      <c r="D35" s="91" t="s">
        <v>439</v>
      </c>
      <c r="E35" s="110">
        <v>3</v>
      </c>
      <c r="F35" s="97" t="s">
        <v>35</v>
      </c>
      <c r="G35" s="85">
        <v>0</v>
      </c>
      <c r="H35" s="85">
        <v>0</v>
      </c>
      <c r="I35" s="87">
        <f t="shared" si="3"/>
        <v>0</v>
      </c>
      <c r="J35" s="87">
        <f t="shared" si="4"/>
        <v>0</v>
      </c>
      <c r="K35" s="88"/>
    </row>
    <row r="36" spans="1:11" x14ac:dyDescent="0.2">
      <c r="A36" s="82">
        <f t="shared" si="5"/>
        <v>8</v>
      </c>
      <c r="B36" s="83"/>
      <c r="C36" s="83"/>
      <c r="D36" s="91" t="s">
        <v>440</v>
      </c>
      <c r="E36" s="110">
        <v>2</v>
      </c>
      <c r="F36" s="97" t="s">
        <v>35</v>
      </c>
      <c r="G36" s="85">
        <v>0</v>
      </c>
      <c r="H36" s="85">
        <v>0</v>
      </c>
      <c r="I36" s="87">
        <f t="shared" si="3"/>
        <v>0</v>
      </c>
      <c r="J36" s="87">
        <f t="shared" si="4"/>
        <v>0</v>
      </c>
      <c r="K36" s="88"/>
    </row>
    <row r="37" spans="1:11" ht="89.25" x14ac:dyDescent="0.2">
      <c r="A37" s="82">
        <f t="shared" si="5"/>
        <v>9</v>
      </c>
      <c r="B37" s="83"/>
      <c r="C37" s="83"/>
      <c r="D37" s="91" t="s">
        <v>441</v>
      </c>
      <c r="E37" s="110">
        <v>8</v>
      </c>
      <c r="F37" s="97" t="s">
        <v>35</v>
      </c>
      <c r="G37" s="85">
        <v>0</v>
      </c>
      <c r="H37" s="85">
        <v>0</v>
      </c>
      <c r="I37" s="87">
        <f t="shared" si="3"/>
        <v>0</v>
      </c>
      <c r="J37" s="87">
        <f t="shared" si="4"/>
        <v>0</v>
      </c>
      <c r="K37" s="88"/>
    </row>
    <row r="38" spans="1:11" ht="38.25" x14ac:dyDescent="0.2">
      <c r="A38" s="82">
        <f t="shared" si="5"/>
        <v>10</v>
      </c>
      <c r="B38" s="83"/>
      <c r="C38" s="83"/>
      <c r="D38" s="91" t="s">
        <v>442</v>
      </c>
      <c r="E38" s="110">
        <v>2</v>
      </c>
      <c r="F38" s="97" t="s">
        <v>35</v>
      </c>
      <c r="G38" s="85">
        <v>0</v>
      </c>
      <c r="H38" s="85">
        <v>0</v>
      </c>
      <c r="I38" s="87">
        <f t="shared" si="3"/>
        <v>0</v>
      </c>
      <c r="J38" s="87">
        <f t="shared" si="4"/>
        <v>0</v>
      </c>
      <c r="K38" s="88"/>
    </row>
    <row r="39" spans="1:11" ht="63.75" x14ac:dyDescent="0.2">
      <c r="A39" s="82">
        <f t="shared" si="5"/>
        <v>11</v>
      </c>
      <c r="B39" s="83"/>
      <c r="C39" s="83"/>
      <c r="D39" s="91" t="s">
        <v>423</v>
      </c>
      <c r="E39" s="110">
        <v>23</v>
      </c>
      <c r="F39" s="97" t="s">
        <v>35</v>
      </c>
      <c r="G39" s="85">
        <v>0</v>
      </c>
      <c r="H39" s="85">
        <v>0</v>
      </c>
      <c r="I39" s="87">
        <f t="shared" si="3"/>
        <v>0</v>
      </c>
      <c r="J39" s="87">
        <f t="shared" si="4"/>
        <v>0</v>
      </c>
      <c r="K39" s="88"/>
    </row>
    <row r="40" spans="1:11" ht="25.5" x14ac:dyDescent="0.2">
      <c r="A40" s="82">
        <f t="shared" si="5"/>
        <v>12</v>
      </c>
      <c r="B40" s="83"/>
      <c r="C40" s="83"/>
      <c r="D40" s="91" t="s">
        <v>424</v>
      </c>
      <c r="E40" s="110">
        <v>23</v>
      </c>
      <c r="F40" s="97" t="s">
        <v>35</v>
      </c>
      <c r="G40" s="85">
        <v>0</v>
      </c>
      <c r="H40" s="85">
        <v>0</v>
      </c>
      <c r="I40" s="87">
        <f t="shared" si="3"/>
        <v>0</v>
      </c>
      <c r="J40" s="87">
        <f t="shared" si="4"/>
        <v>0</v>
      </c>
      <c r="K40" s="88"/>
    </row>
    <row r="41" spans="1:11" ht="63.75" x14ac:dyDescent="0.2">
      <c r="A41" s="82">
        <f t="shared" si="5"/>
        <v>13</v>
      </c>
      <c r="B41" s="83"/>
      <c r="C41" s="83"/>
      <c r="D41" s="91" t="s">
        <v>425</v>
      </c>
      <c r="E41" s="110">
        <v>23</v>
      </c>
      <c r="F41" s="97" t="s">
        <v>35</v>
      </c>
      <c r="G41" s="85">
        <v>0</v>
      </c>
      <c r="H41" s="85">
        <v>0</v>
      </c>
      <c r="I41" s="87">
        <f t="shared" si="3"/>
        <v>0</v>
      </c>
      <c r="J41" s="87">
        <f t="shared" si="4"/>
        <v>0</v>
      </c>
      <c r="K41" s="88"/>
    </row>
    <row r="42" spans="1:11" ht="102" x14ac:dyDescent="0.2">
      <c r="A42" s="82">
        <f t="shared" si="5"/>
        <v>14</v>
      </c>
      <c r="B42" s="83"/>
      <c r="C42" s="83"/>
      <c r="D42" s="91" t="s">
        <v>414</v>
      </c>
      <c r="E42" s="110">
        <v>1</v>
      </c>
      <c r="F42" s="97" t="s">
        <v>35</v>
      </c>
      <c r="G42" s="85">
        <v>0</v>
      </c>
      <c r="H42" s="85">
        <v>0</v>
      </c>
      <c r="I42" s="87">
        <f t="shared" si="3"/>
        <v>0</v>
      </c>
      <c r="J42" s="87">
        <f t="shared" si="4"/>
        <v>0</v>
      </c>
      <c r="K42" s="88"/>
    </row>
    <row r="43" spans="1:11" x14ac:dyDescent="0.2">
      <c r="A43" s="82">
        <f t="shared" si="2"/>
        <v>15</v>
      </c>
      <c r="B43" s="83"/>
      <c r="C43" s="83"/>
      <c r="D43" s="91" t="s">
        <v>415</v>
      </c>
      <c r="E43" s="110">
        <v>3</v>
      </c>
      <c r="F43" s="97" t="s">
        <v>35</v>
      </c>
      <c r="G43" s="85">
        <v>0</v>
      </c>
      <c r="H43" s="85">
        <v>0</v>
      </c>
      <c r="I43" s="87">
        <f t="shared" si="3"/>
        <v>0</v>
      </c>
      <c r="J43" s="87">
        <f t="shared" si="4"/>
        <v>0</v>
      </c>
      <c r="K43" s="88"/>
    </row>
    <row r="44" spans="1:11" x14ac:dyDescent="0.2">
      <c r="A44" s="82">
        <f t="shared" si="2"/>
        <v>16</v>
      </c>
      <c r="B44" s="83"/>
      <c r="C44" s="83"/>
      <c r="D44" s="91" t="s">
        <v>416</v>
      </c>
      <c r="E44" s="110">
        <v>5</v>
      </c>
      <c r="F44" s="97" t="s">
        <v>35</v>
      </c>
      <c r="G44" s="85">
        <v>0</v>
      </c>
      <c r="H44" s="85">
        <v>0</v>
      </c>
      <c r="I44" s="87">
        <f t="shared" si="3"/>
        <v>0</v>
      </c>
      <c r="J44" s="87">
        <f t="shared" si="4"/>
        <v>0</v>
      </c>
      <c r="K44" s="88"/>
    </row>
    <row r="45" spans="1:11" x14ac:dyDescent="0.2">
      <c r="A45" s="82">
        <f t="shared" si="2"/>
        <v>17</v>
      </c>
      <c r="B45" s="83"/>
      <c r="C45" s="83"/>
      <c r="D45" s="91" t="s">
        <v>417</v>
      </c>
      <c r="E45" s="110">
        <v>2</v>
      </c>
      <c r="F45" s="97" t="s">
        <v>35</v>
      </c>
      <c r="G45" s="85">
        <v>0</v>
      </c>
      <c r="H45" s="85">
        <v>0</v>
      </c>
      <c r="I45" s="87">
        <f t="shared" si="3"/>
        <v>0</v>
      </c>
      <c r="J45" s="87">
        <f t="shared" si="4"/>
        <v>0</v>
      </c>
      <c r="K45" s="88"/>
    </row>
    <row r="46" spans="1:11" x14ac:dyDescent="0.2">
      <c r="A46" s="82">
        <f t="shared" si="2"/>
        <v>18</v>
      </c>
      <c r="B46" s="83"/>
      <c r="C46" s="83"/>
      <c r="D46" s="91" t="s">
        <v>418</v>
      </c>
      <c r="E46" s="110">
        <v>2</v>
      </c>
      <c r="F46" s="97" t="s">
        <v>35</v>
      </c>
      <c r="G46" s="85">
        <v>0</v>
      </c>
      <c r="H46" s="85">
        <v>0</v>
      </c>
      <c r="I46" s="87">
        <f t="shared" si="3"/>
        <v>0</v>
      </c>
      <c r="J46" s="87">
        <f t="shared" si="4"/>
        <v>0</v>
      </c>
      <c r="K46" s="88"/>
    </row>
    <row r="47" spans="1:11" x14ac:dyDescent="0.2">
      <c r="A47" s="82">
        <f t="shared" si="2"/>
        <v>19</v>
      </c>
      <c r="B47" s="83"/>
      <c r="C47" s="83"/>
      <c r="D47" s="91" t="s">
        <v>419</v>
      </c>
      <c r="E47" s="110">
        <v>4</v>
      </c>
      <c r="F47" s="97" t="s">
        <v>35</v>
      </c>
      <c r="G47" s="85">
        <v>0</v>
      </c>
      <c r="H47" s="85">
        <v>0</v>
      </c>
      <c r="I47" s="87">
        <f t="shared" si="3"/>
        <v>0</v>
      </c>
      <c r="J47" s="87">
        <f t="shared" si="4"/>
        <v>0</v>
      </c>
      <c r="K47" s="88"/>
    </row>
    <row r="48" spans="1:11" x14ac:dyDescent="0.2">
      <c r="A48" s="82">
        <f t="shared" si="2"/>
        <v>20</v>
      </c>
      <c r="B48" s="83"/>
      <c r="C48" s="83"/>
      <c r="D48" s="91" t="s">
        <v>420</v>
      </c>
      <c r="E48" s="110">
        <v>2</v>
      </c>
      <c r="F48" s="97" t="s">
        <v>35</v>
      </c>
      <c r="G48" s="85">
        <v>0</v>
      </c>
      <c r="H48" s="85">
        <v>0</v>
      </c>
      <c r="I48" s="87">
        <f t="shared" si="3"/>
        <v>0</v>
      </c>
      <c r="J48" s="87">
        <f t="shared" si="4"/>
        <v>0</v>
      </c>
      <c r="K48" s="88"/>
    </row>
    <row r="49" spans="1:11" x14ac:dyDescent="0.2">
      <c r="A49" s="82">
        <f t="shared" si="2"/>
        <v>21</v>
      </c>
      <c r="B49" s="83"/>
      <c r="C49" s="83"/>
      <c r="D49" s="91" t="s">
        <v>421</v>
      </c>
      <c r="E49" s="110">
        <v>2</v>
      </c>
      <c r="F49" s="97" t="s">
        <v>35</v>
      </c>
      <c r="G49" s="85">
        <v>0</v>
      </c>
      <c r="H49" s="85">
        <v>0</v>
      </c>
      <c r="I49" s="87">
        <f t="shared" si="3"/>
        <v>0</v>
      </c>
      <c r="J49" s="87">
        <f t="shared" si="4"/>
        <v>0</v>
      </c>
      <c r="K49" s="88"/>
    </row>
    <row r="50" spans="1:11" x14ac:dyDescent="0.2">
      <c r="A50" s="82">
        <f t="shared" si="2"/>
        <v>22</v>
      </c>
      <c r="B50" s="83"/>
      <c r="C50" s="83"/>
      <c r="D50" s="91" t="s">
        <v>422</v>
      </c>
      <c r="E50" s="110">
        <v>2</v>
      </c>
      <c r="F50" s="97" t="s">
        <v>35</v>
      </c>
      <c r="G50" s="85">
        <v>0</v>
      </c>
      <c r="H50" s="85">
        <v>0</v>
      </c>
      <c r="I50" s="87">
        <f t="shared" si="3"/>
        <v>0</v>
      </c>
      <c r="J50" s="87">
        <f t="shared" si="4"/>
        <v>0</v>
      </c>
      <c r="K50" s="88"/>
    </row>
    <row r="51" spans="1:11" ht="25.5" x14ac:dyDescent="0.2">
      <c r="A51" s="82">
        <f t="shared" si="2"/>
        <v>23</v>
      </c>
      <c r="B51" s="83"/>
      <c r="C51" s="83"/>
      <c r="D51" s="91" t="s">
        <v>427</v>
      </c>
      <c r="E51" s="110">
        <v>1</v>
      </c>
      <c r="F51" s="97" t="s">
        <v>35</v>
      </c>
      <c r="G51" s="85">
        <v>0</v>
      </c>
      <c r="H51" s="85">
        <v>0</v>
      </c>
      <c r="I51" s="87">
        <f t="shared" si="3"/>
        <v>0</v>
      </c>
      <c r="J51" s="87">
        <f t="shared" si="4"/>
        <v>0</v>
      </c>
      <c r="K51" s="88"/>
    </row>
    <row r="52" spans="1:11" ht="63.75" x14ac:dyDescent="0.2">
      <c r="A52" s="82">
        <f t="shared" si="2"/>
        <v>24</v>
      </c>
      <c r="B52" s="83"/>
      <c r="C52" s="83"/>
      <c r="D52" s="91" t="s">
        <v>428</v>
      </c>
      <c r="E52" s="110">
        <v>2</v>
      </c>
      <c r="F52" s="97" t="s">
        <v>35</v>
      </c>
      <c r="G52" s="85">
        <v>0</v>
      </c>
      <c r="H52" s="85">
        <v>0</v>
      </c>
      <c r="I52" s="87">
        <f t="shared" si="3"/>
        <v>0</v>
      </c>
      <c r="J52" s="87">
        <f t="shared" si="4"/>
        <v>0</v>
      </c>
      <c r="K52" s="88"/>
    </row>
    <row r="53" spans="1:11" ht="41.25" x14ac:dyDescent="0.2">
      <c r="A53" s="82">
        <f t="shared" si="2"/>
        <v>25</v>
      </c>
      <c r="B53" s="83"/>
      <c r="C53" s="83"/>
      <c r="D53" s="91" t="s">
        <v>449</v>
      </c>
      <c r="E53" s="110">
        <v>1</v>
      </c>
      <c r="F53" s="97" t="s">
        <v>35</v>
      </c>
      <c r="G53" s="85">
        <v>0</v>
      </c>
      <c r="H53" s="85">
        <v>0</v>
      </c>
      <c r="I53" s="87">
        <f t="shared" si="3"/>
        <v>0</v>
      </c>
      <c r="J53" s="87">
        <f t="shared" si="4"/>
        <v>0</v>
      </c>
      <c r="K53" s="88"/>
    </row>
    <row r="54" spans="1:11" ht="51" x14ac:dyDescent="0.2">
      <c r="A54" s="82">
        <f t="shared" si="2"/>
        <v>26</v>
      </c>
      <c r="B54" s="83"/>
      <c r="C54" s="83"/>
      <c r="D54" s="91" t="s">
        <v>429</v>
      </c>
      <c r="E54" s="110">
        <v>1</v>
      </c>
      <c r="F54" s="97" t="s">
        <v>35</v>
      </c>
      <c r="G54" s="85">
        <v>0</v>
      </c>
      <c r="H54" s="85">
        <v>0</v>
      </c>
      <c r="I54" s="87">
        <f t="shared" si="3"/>
        <v>0</v>
      </c>
      <c r="J54" s="87">
        <f t="shared" si="4"/>
        <v>0</v>
      </c>
      <c r="K54" s="88"/>
    </row>
    <row r="55" spans="1:11" ht="51" x14ac:dyDescent="0.2">
      <c r="A55" s="82">
        <f t="shared" si="2"/>
        <v>27</v>
      </c>
      <c r="B55" s="83"/>
      <c r="C55" s="83"/>
      <c r="D55" s="91" t="s">
        <v>430</v>
      </c>
      <c r="E55" s="110">
        <v>1</v>
      </c>
      <c r="F55" s="97" t="s">
        <v>35</v>
      </c>
      <c r="G55" s="85">
        <v>0</v>
      </c>
      <c r="H55" s="85">
        <v>0</v>
      </c>
      <c r="I55" s="87">
        <f t="shared" si="3"/>
        <v>0</v>
      </c>
      <c r="J55" s="87">
        <f t="shared" si="4"/>
        <v>0</v>
      </c>
      <c r="K55" s="88"/>
    </row>
    <row r="56" spans="1:11" ht="51" x14ac:dyDescent="0.2">
      <c r="A56" s="82">
        <f t="shared" si="2"/>
        <v>28</v>
      </c>
      <c r="B56" s="83"/>
      <c r="C56" s="83"/>
      <c r="D56" s="91" t="s">
        <v>431</v>
      </c>
      <c r="E56" s="110">
        <v>1</v>
      </c>
      <c r="F56" s="97" t="s">
        <v>35</v>
      </c>
      <c r="G56" s="85">
        <v>0</v>
      </c>
      <c r="H56" s="85">
        <v>0</v>
      </c>
      <c r="I56" s="87">
        <f t="shared" si="3"/>
        <v>0</v>
      </c>
      <c r="J56" s="87">
        <f t="shared" si="4"/>
        <v>0</v>
      </c>
      <c r="K56" s="88"/>
    </row>
    <row r="57" spans="1:11" ht="76.5" x14ac:dyDescent="0.2">
      <c r="A57" s="82">
        <f t="shared" si="2"/>
        <v>29</v>
      </c>
      <c r="B57" s="83"/>
      <c r="C57" s="83"/>
      <c r="D57" s="92" t="s">
        <v>437</v>
      </c>
      <c r="E57" s="110">
        <v>1</v>
      </c>
      <c r="F57" s="97" t="s">
        <v>35</v>
      </c>
      <c r="G57" s="85">
        <v>0</v>
      </c>
      <c r="H57" s="85">
        <v>0</v>
      </c>
      <c r="I57" s="87">
        <f t="shared" si="3"/>
        <v>0</v>
      </c>
      <c r="J57" s="87">
        <f t="shared" si="4"/>
        <v>0</v>
      </c>
      <c r="K57" s="88"/>
    </row>
    <row r="58" spans="1:11" ht="51" x14ac:dyDescent="0.2">
      <c r="A58" s="82">
        <f t="shared" si="2"/>
        <v>30</v>
      </c>
      <c r="B58" s="83"/>
      <c r="C58" s="83"/>
      <c r="D58" s="91" t="s">
        <v>443</v>
      </c>
      <c r="E58" s="110">
        <v>6</v>
      </c>
      <c r="F58" s="97" t="s">
        <v>35</v>
      </c>
      <c r="G58" s="85">
        <v>0</v>
      </c>
      <c r="H58" s="85">
        <v>0</v>
      </c>
      <c r="I58" s="87">
        <f t="shared" si="3"/>
        <v>0</v>
      </c>
      <c r="J58" s="87">
        <f t="shared" si="4"/>
        <v>0</v>
      </c>
      <c r="K58" s="88"/>
    </row>
    <row r="59" spans="1:11" ht="38.25" x14ac:dyDescent="0.2">
      <c r="A59" s="82">
        <f t="shared" si="2"/>
        <v>31</v>
      </c>
      <c r="B59" s="83"/>
      <c r="C59" s="83"/>
      <c r="D59" s="91" t="s">
        <v>444</v>
      </c>
      <c r="E59" s="110">
        <v>1</v>
      </c>
      <c r="F59" s="97" t="s">
        <v>454</v>
      </c>
      <c r="G59" s="85">
        <v>0</v>
      </c>
      <c r="H59" s="85">
        <v>0</v>
      </c>
      <c r="I59" s="87">
        <f t="shared" si="3"/>
        <v>0</v>
      </c>
      <c r="J59" s="87">
        <f t="shared" si="4"/>
        <v>0</v>
      </c>
      <c r="K59" s="88"/>
    </row>
    <row r="60" spans="1:11" ht="25.5" x14ac:dyDescent="0.2">
      <c r="A60" s="82">
        <f t="shared" si="2"/>
        <v>32</v>
      </c>
      <c r="B60" s="83"/>
      <c r="C60" s="83"/>
      <c r="D60" s="91" t="s">
        <v>445</v>
      </c>
      <c r="E60" s="110">
        <v>1</v>
      </c>
      <c r="F60" s="97" t="s">
        <v>454</v>
      </c>
      <c r="G60" s="85">
        <v>0</v>
      </c>
      <c r="H60" s="85">
        <v>0</v>
      </c>
      <c r="I60" s="87">
        <f t="shared" si="3"/>
        <v>0</v>
      </c>
      <c r="J60" s="87">
        <f t="shared" si="4"/>
        <v>0</v>
      </c>
      <c r="K60" s="88"/>
    </row>
    <row r="61" spans="1:11" ht="38.25" x14ac:dyDescent="0.2">
      <c r="A61" s="82">
        <f t="shared" si="2"/>
        <v>33</v>
      </c>
      <c r="B61" s="83"/>
      <c r="C61" s="83"/>
      <c r="D61" s="91" t="s">
        <v>446</v>
      </c>
      <c r="E61" s="110">
        <v>1</v>
      </c>
      <c r="F61" s="97" t="s">
        <v>454</v>
      </c>
      <c r="G61" s="85">
        <v>0</v>
      </c>
      <c r="H61" s="85">
        <v>0</v>
      </c>
      <c r="I61" s="87">
        <f t="shared" si="3"/>
        <v>0</v>
      </c>
      <c r="J61" s="87">
        <f t="shared" si="4"/>
        <v>0</v>
      </c>
      <c r="K61" s="88"/>
    </row>
    <row r="62" spans="1:11" ht="38.25" x14ac:dyDescent="0.2">
      <c r="A62" s="82">
        <f t="shared" si="2"/>
        <v>34</v>
      </c>
      <c r="B62" s="83"/>
      <c r="C62" s="83"/>
      <c r="D62" s="91" t="s">
        <v>447</v>
      </c>
      <c r="E62" s="110">
        <v>1</v>
      </c>
      <c r="F62" s="97" t="s">
        <v>454</v>
      </c>
      <c r="G62" s="85">
        <v>0</v>
      </c>
      <c r="H62" s="85">
        <v>0</v>
      </c>
      <c r="I62" s="87">
        <f t="shared" si="3"/>
        <v>0</v>
      </c>
      <c r="J62" s="87">
        <f t="shared" si="4"/>
        <v>0</v>
      </c>
      <c r="K62" s="88"/>
    </row>
    <row r="63" spans="1:11" x14ac:dyDescent="0.2">
      <c r="A63" s="82">
        <f t="shared" si="2"/>
        <v>35</v>
      </c>
      <c r="B63" s="83"/>
      <c r="C63" s="83"/>
      <c r="D63" s="91" t="s">
        <v>448</v>
      </c>
      <c r="E63" s="110">
        <v>1</v>
      </c>
      <c r="F63" s="97" t="s">
        <v>377</v>
      </c>
      <c r="G63" s="85">
        <v>0</v>
      </c>
      <c r="H63" s="85">
        <v>0</v>
      </c>
      <c r="I63" s="87">
        <f t="shared" si="3"/>
        <v>0</v>
      </c>
      <c r="J63" s="87">
        <f t="shared" si="4"/>
        <v>0</v>
      </c>
      <c r="K63" s="88"/>
    </row>
    <row r="64" spans="1:11" x14ac:dyDescent="0.2">
      <c r="A64" s="82"/>
      <c r="B64" s="83"/>
      <c r="C64" s="83"/>
      <c r="D64" s="83"/>
      <c r="E64" s="107"/>
      <c r="F64" s="99"/>
      <c r="G64" s="86"/>
      <c r="H64" s="86"/>
      <c r="I64" s="87"/>
      <c r="J64" s="87"/>
      <c r="K64" s="88"/>
    </row>
    <row r="65" spans="1:11" x14ac:dyDescent="0.2">
      <c r="A65" s="132" t="s">
        <v>453</v>
      </c>
      <c r="B65" s="132"/>
      <c r="C65" s="132"/>
      <c r="D65" s="132"/>
      <c r="E65" s="106"/>
      <c r="F65" s="98"/>
      <c r="G65" s="9"/>
      <c r="H65" s="9"/>
      <c r="I65" s="10">
        <f>SUM(I29:I64)</f>
        <v>0</v>
      </c>
      <c r="J65" s="10">
        <f>SUM(J29:J64)</f>
        <v>0</v>
      </c>
    </row>
    <row r="66" spans="1:11" x14ac:dyDescent="0.2">
      <c r="A66" s="82"/>
      <c r="B66" s="83"/>
      <c r="C66" s="83"/>
      <c r="D66" s="83"/>
      <c r="E66" s="107"/>
      <c r="F66" s="99"/>
      <c r="G66" s="86"/>
      <c r="H66" s="86"/>
      <c r="I66" s="87"/>
      <c r="J66" s="87"/>
      <c r="K66" s="88"/>
    </row>
    <row r="67" spans="1:11" x14ac:dyDescent="0.2">
      <c r="A67" s="82"/>
      <c r="B67" s="83"/>
      <c r="C67" s="83"/>
      <c r="D67" s="83"/>
      <c r="E67" s="107"/>
      <c r="F67" s="99"/>
      <c r="G67" s="86"/>
      <c r="H67" s="86"/>
      <c r="I67" s="87"/>
      <c r="J67" s="87"/>
      <c r="K67" s="88"/>
    </row>
    <row r="68" spans="1:11" x14ac:dyDescent="0.2">
      <c r="A68" s="82"/>
      <c r="B68" s="83"/>
      <c r="C68" s="83"/>
      <c r="D68" s="83"/>
      <c r="E68" s="107"/>
      <c r="F68" s="99"/>
      <c r="G68" s="86"/>
      <c r="H68" s="86"/>
      <c r="I68" s="87"/>
      <c r="J68" s="87"/>
      <c r="K68" s="88"/>
    </row>
    <row r="69" spans="1:11" x14ac:dyDescent="0.2">
      <c r="A69" s="82"/>
      <c r="B69" s="83"/>
      <c r="C69" s="83"/>
      <c r="D69" s="83"/>
      <c r="E69" s="107"/>
      <c r="F69" s="99"/>
      <c r="G69" s="86"/>
      <c r="H69" s="86"/>
      <c r="I69" s="87"/>
      <c r="J69" s="87"/>
      <c r="K69" s="88"/>
    </row>
    <row r="70" spans="1:11" x14ac:dyDescent="0.2">
      <c r="A70" s="82"/>
      <c r="B70" s="83"/>
      <c r="C70" s="83"/>
      <c r="D70" s="83"/>
      <c r="E70" s="107"/>
      <c r="F70" s="99"/>
      <c r="G70" s="86"/>
      <c r="H70" s="86"/>
      <c r="I70" s="87"/>
      <c r="J70" s="87"/>
      <c r="K70" s="88"/>
    </row>
    <row r="71" spans="1:11" x14ac:dyDescent="0.2">
      <c r="A71" s="82"/>
      <c r="B71" s="83"/>
      <c r="C71" s="83"/>
      <c r="D71" s="83"/>
      <c r="E71" s="107"/>
      <c r="F71" s="99"/>
      <c r="G71" s="86"/>
      <c r="H71" s="86"/>
      <c r="I71" s="87"/>
      <c r="J71" s="87"/>
      <c r="K71" s="88"/>
    </row>
  </sheetData>
  <mergeCells count="7">
    <mergeCell ref="A10:D10"/>
    <mergeCell ref="A16:D16"/>
    <mergeCell ref="A26:D26"/>
    <mergeCell ref="A65:D65"/>
    <mergeCell ref="A1:J1"/>
    <mergeCell ref="A2:J2"/>
    <mergeCell ref="A4:J4"/>
  </mergeCells>
  <pageMargins left="0.70866141732283472" right="0.70866141732283472" top="0.74803149606299213" bottom="0.74803149606299213" header="0.31496062992125984" footer="0.31496062992125984"/>
  <pageSetup paperSize="9" scale="78" fitToHeight="100" orientation="portrait" r:id="rId1"/>
  <headerFooter>
    <oddFooter>&amp;C&amp;P/&amp;N&amp;RAjánlattevő</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10</vt:i4>
      </vt:variant>
      <vt:variant>
        <vt:lpstr>Névvel ellátott tartományok</vt:lpstr>
      </vt:variant>
      <vt:variant>
        <vt:i4>12</vt:i4>
      </vt:variant>
    </vt:vector>
  </HeadingPairs>
  <TitlesOfParts>
    <vt:vector size="22" baseType="lpstr">
      <vt:lpstr>Főösszesítő</vt:lpstr>
      <vt:lpstr>Összesítő</vt:lpstr>
      <vt:lpstr>homlokzat</vt:lpstr>
      <vt:lpstr>nyílászáró</vt:lpstr>
      <vt:lpstr>padló</vt:lpstr>
      <vt:lpstr>pince</vt:lpstr>
      <vt:lpstr>padlás</vt:lpstr>
      <vt:lpstr>akadálymentesítés</vt:lpstr>
      <vt:lpstr>fűtés</vt:lpstr>
      <vt:lpstr>HKME</vt:lpstr>
      <vt:lpstr>akadálymentesítés!Nyomtatási_cím</vt:lpstr>
      <vt:lpstr>fűtés!Nyomtatási_cím</vt:lpstr>
      <vt:lpstr>HKME!Nyomtatási_cím</vt:lpstr>
      <vt:lpstr>homlokzat!Nyomtatási_cím</vt:lpstr>
      <vt:lpstr>nyílászáró!Nyomtatási_cím</vt:lpstr>
      <vt:lpstr>padlás!Nyomtatási_cím</vt:lpstr>
      <vt:lpstr>padló!Nyomtatási_cím</vt:lpstr>
      <vt:lpstr>pince!Nyomtatási_cím</vt:lpstr>
      <vt:lpstr>Főösszesítő!Nyomtatási_terület</vt:lpstr>
      <vt:lpstr>homlokzat!Nyomtatási_terület</vt:lpstr>
      <vt:lpstr>nyílászáró!Nyomtatási_terület</vt:lpstr>
      <vt:lpstr>Összesítő!Nyomtatási_terület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Kovács Attila</dc:creator>
  <cp:lastModifiedBy>dr. Simon Piroska</cp:lastModifiedBy>
  <cp:lastPrinted>2017-11-23T21:29:54Z</cp:lastPrinted>
  <dcterms:created xsi:type="dcterms:W3CDTF">2017-06-11T11:48:59Z</dcterms:created>
  <dcterms:modified xsi:type="dcterms:W3CDTF">2018-02-09T10:30:57Z</dcterms:modified>
</cp:coreProperties>
</file>